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אגף כספים\משרד הפנים\RIVONI0121\"/>
    </mc:Choice>
  </mc:AlternateContent>
  <workbookProtection workbookPassword="83C1" lockStructure="1"/>
  <bookViews>
    <workbookView showSheetTabs="0" xWindow="0" yWindow="0" windowWidth="20490" windowHeight="8325" activeTab="1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54" l="1"/>
  <c r="G37" i="55" l="1"/>
  <c r="G40" i="55"/>
  <c r="C20" i="58" l="1"/>
  <c r="C25" i="58"/>
  <c r="C24" i="58"/>
  <c r="D36" i="54"/>
  <c r="D75" i="54"/>
  <c r="D35" i="54"/>
  <c r="G33" i="55"/>
  <c r="G15" i="55"/>
  <c r="G46" i="55"/>
  <c r="D10" i="54"/>
  <c r="D38" i="54"/>
  <c r="C23" i="55"/>
  <c r="F79" i="54" l="1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27" i="61" s="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D44" i="56" s="1"/>
  <c r="D347" i="56" s="1"/>
  <c r="F39" i="56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G361" i="55" s="1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D344" i="60" s="1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G3" i="65" l="1"/>
  <c r="D343" i="65" s="1"/>
  <c r="F4" i="54"/>
  <c r="D19" i="65"/>
  <c r="D13" i="65"/>
  <c r="H24" i="65"/>
  <c r="D18" i="65"/>
  <c r="T334" i="61"/>
  <c r="T326" i="61"/>
  <c r="P10" i="60"/>
  <c r="P315" i="60" s="1"/>
  <c r="D358" i="56"/>
  <c r="G328" i="55"/>
  <c r="D352" i="56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J27" i="65" l="1"/>
  <c r="K30" i="58"/>
  <c r="K332" i="58" s="1"/>
  <c r="M30" i="58"/>
  <c r="E181" i="65" s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M332" i="58" l="1"/>
  <c r="L70" i="65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 shape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 shape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 shape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 shape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<sst xmlns="http://schemas.openxmlformats.org/spreadsheetml/2006/main" count="1860" uniqueCount="979">
  <si>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</si>
  <si>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</si>
  <si>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</si>
  <si>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</si>
  <si>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</si>
  <si>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</si>
  <si>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</si>
  <si>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</si>
  <si>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</si>
  <si>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</si>
  <si>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</si>
  <si>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</si>
  <si>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</si>
  <si>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</si>
  <si>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</si>
  <si>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</si>
  <si>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</si>
  <si>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</si>
  <si>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</si>
  <si>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</si>
  <si>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</si>
  <si>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</si>
  <si>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</si>
  <si>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</si>
  <si>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</si>
  <si>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</si>
  <si>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</si>
  <si>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</si>
  <si>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</si>
  <si>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</si>
  <si>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</si>
  <si>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</si>
  <si>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</si>
  <si>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</si>
  <si>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</si>
  <si>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</si>
  <si>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</si>
  <si>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</si>
  <si>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</si>
  <si>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</si>
  <si>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</si>
  <si>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</si>
  <si>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</si>
  <si>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</si>
  <si>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</si>
  <si>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</si>
  <si>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</si>
  <si>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</si>
  <si>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</si>
  <si>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</si>
  <si>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</si>
  <si>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</si>
  <si>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</si>
  <si>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</si>
  <si>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</si>
  <si>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</si>
  <si>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</si>
  <si>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</si>
  <si>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</si>
  <si>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</si>
  <si>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</si>
  <si>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</si>
  <si>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</si>
  <si>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</si>
  <si>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</si>
  <si>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</si>
  <si>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</si>
  <si>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</si>
  <si>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</si>
  <si>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</si>
  <si>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</si>
  <si>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</si>
  <si>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</si>
  <si>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</si>
  <si>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</si>
  <si>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</si>
  <si>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</si>
  <si>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</si>
  <si>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</si>
  <si>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</si>
  <si>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</si>
  <si>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</si>
  <si>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</si>
  <si>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</si>
  <si>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</si>
  <si>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</si>
  <si>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</si>
  <si>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</si>
  <si>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</si>
  <si>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</si>
  <si>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</si>
  <si>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</si>
  <si>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</si>
  <si>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</si>
  <si>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</si>
  <si>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</si>
  <si>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</si>
  <si>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</si>
  <si>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</si>
  <si>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</si>
  <si>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</si>
  <si>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</si>
  <si>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</si>
  <si>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</si>
  <si>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</si>
  <si>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</si>
  <si>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</si>
  <si>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</si>
  <si>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</si>
  <si>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</si>
  <si>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</si>
  <si>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</si>
  <si>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</si>
  <si>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</si>
  <si>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</si>
  <si>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</si>
  <si>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</si>
  <si>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</si>
  <si>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</si>
  <si>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</si>
  <si>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</si>
  <si>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</si>
  <si>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</si>
  <si>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</si>
  <si>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</si>
  <si>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</si>
  <si>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</si>
  <si>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</si>
  <si>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</si>
  <si>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</si>
  <si>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</si>
  <si>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</si>
  <si>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</si>
  <si>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</si>
  <si>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</si>
  <si>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</si>
  <si>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</si>
  <si>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</si>
  <si>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</si>
  <si>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</si>
  <si>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</si>
  <si>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</si>
  <si>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</si>
  <si>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</si>
  <si>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</si>
  <si>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</si>
  <si>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</si>
  <si>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</si>
  <si>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</si>
  <si>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</si>
  <si>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</si>
  <si>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</si>
  <si>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</si>
  <si>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</si>
  <si>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</si>
  <si>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</si>
  <si>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</si>
  <si>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</si>
  <si>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</si>
  <si>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</si>
  <si>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</si>
  <si>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</si>
  <si>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</si>
  <si>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</si>
  <si>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</si>
  <si>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</si>
  <si>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</si>
  <si>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</si>
  <si>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</si>
  <si>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</si>
  <si>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</si>
  <si>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</si>
  <si>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</si>
  <si>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</si>
  <si>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</si>
  <si>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</si>
  <si>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</si>
  <si>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</si>
  <si>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</si>
  <si>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</si>
  <si>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</si>
  <si>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</si>
  <si>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</si>
  <si>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</si>
  <si>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</si>
  <si>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</si>
  <si>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</si>
  <si>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</si>
  <si>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</si>
  <si>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</si>
  <si>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</si>
  <si>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</si>
  <si>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</si>
  <si>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</si>
  <si>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</si>
  <si>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</si>
  <si>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</si>
  <si>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</si>
  <si>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</si>
  <si>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</si>
  <si>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</si>
  <si>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</si>
  <si>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</si>
  <si>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</si>
  <si>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</si>
  <si>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</si>
  <si>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</si>
  <si>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</si>
  <si>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</si>
  <si>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</si>
  <si>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</si>
  <si>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</si>
  <si>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</si>
  <si>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</si>
  <si>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</si>
  <si>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</si>
  <si>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</si>
  <si>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</si>
  <si>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</si>
  <si>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</si>
  <si>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</si>
  <si>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</si>
  <si>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</si>
  <si>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</si>
  <si>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</si>
  <si>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</si>
  <si>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</si>
  <si>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</si>
  <si>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</si>
  <si>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</si>
  <si>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</si>
  <si>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</si>
  <si>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</si>
  <si>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</si>
  <si>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</si>
  <si>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</si>
  <si>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</si>
  <si>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</si>
  <si>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</si>
  <si>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</si>
  <si>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</si>
  <si>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</si>
  <si>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</si>
  <si>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</si>
  <si>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</si>
  <si>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</si>
  <si>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</si>
  <si>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</si>
  <si>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</si>
  <si>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</si>
  <si>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</si>
  <si>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</si>
  <si>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</si>
  <si>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</si>
  <si>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</si>
  <si>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</si>
  <si>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</si>
  <si>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</si>
  <si>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</si>
  <si>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</si>
  <si>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</si>
  <si>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</si>
  <si>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</si>
  <si>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</si>
  <si>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</si>
  <si>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</si>
  <si>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</si>
  <si>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</si>
  <si>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</si>
  <si>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</si>
  <si>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</si>
  <si>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</si>
  <si>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</si>
  <si>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</si>
  <si>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</si>
  <si>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</si>
  <si>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</si>
  <si>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</si>
  <si>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</si>
  <si>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</si>
  <si>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</si>
  <si>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</si>
  <si>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</si>
  <si>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</si>
  <si>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</si>
  <si>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</si>
  <si>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</si>
  <si>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</si>
  <si>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</si>
  <si>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</si>
  <si>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</si>
  <si>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</si>
  <si>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</si>
  <si>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</si>
  <si>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</si>
  <si>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</si>
  <si>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</si>
  <si>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</si>
  <si>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</si>
  <si>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</si>
  <si>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</si>
  <si>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</si>
  <si>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</si>
  <si>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</si>
  <si>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</si>
  <si>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</si>
  <si>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</si>
  <si>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</si>
  <si>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</si>
  <si>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</si>
  <si>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</si>
  <si>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</si>
  <si>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</si>
  <si>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</si>
  <si>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</si>
  <si>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</si>
  <si>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</si>
  <si>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</si>
  <si>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</si>
  <si>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</si>
  <si>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</si>
  <si>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</si>
  <si>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</si>
  <si>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</si>
  <si>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</si>
  <si>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</si>
  <si>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</si>
  <si>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</si>
  <si>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</si>
  <si>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</si>
  <si>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</si>
  <si>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</si>
  <si>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</si>
  <si>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</si>
  <si>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</si>
  <si>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</si>
  <si>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</si>
  <si>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</si>
  <si>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</si>
  <si>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</si>
  <si>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</si>
  <si>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</si>
  <si>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</si>
  <si>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</si>
  <si>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</si>
  <si>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</si>
  <si>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</si>
  <si>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</si>
  <si>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</si>
  <si>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</si>
  <si>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</si>
  <si>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</si>
  <si>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</si>
  <si>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</si>
  <si>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</si>
  <si>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</si>
  <si>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</si>
  <si>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</si>
  <si>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</si>
  <si>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</si>
  <si>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</si>
  <si>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</si>
  <si>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</si>
  <si>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</si>
  <si>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</si>
  <si>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</si>
  <si>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</si>
  <si>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</si>
  <si>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</si>
  <si>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</si>
  <si>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</si>
  <si>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</si>
  <si>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</si>
  <si>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</si>
  <si>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</si>
  <si>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</si>
  <si>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</si>
  <si>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</si>
  <si>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</si>
  <si>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</si>
  <si>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</si>
  <si>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</si>
  <si>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</si>
  <si>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</si>
  <si>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</si>
  <si>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</si>
  <si>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</si>
  <si>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</si>
  <si>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</si>
  <si>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</si>
  <si>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</si>
  <si>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</si>
  <si>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</si>
  <si>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</si>
  <si>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</si>
  <si>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</si>
  <si>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</si>
  <si>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</si>
  <si>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</si>
  <si>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</si>
  <si>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</si>
  <si>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</si>
  <si>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</si>
  <si>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</si>
  <si>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</si>
  <si>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</si>
  <si>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</si>
  <si>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</si>
  <si>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</si>
  <si>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</si>
  <si>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</si>
  <si>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</si>
  <si>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</si>
  <si>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</si>
  <si>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</si>
  <si>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</si>
  <si>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</si>
  <si>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</si>
  <si>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</si>
  <si>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</si>
  <si>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</si>
  <si>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</si>
  <si>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</si>
  <si>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</si>
  <si>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</si>
  <si>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</si>
  <si>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</si>
  <si>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</si>
  <si>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</si>
  <si>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</si>
  <si>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</si>
  <si>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</si>
  <si>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</si>
  <si>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</si>
  <si>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</si>
  <si>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</si>
  <si>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</si>
  <si>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</si>
  <si>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</si>
  <si>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</si>
  <si>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</si>
  <si>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</si>
  <si>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</si>
  <si>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</si>
  <si>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</si>
  <si>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</si>
  <si>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</si>
  <si>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</si>
  <si>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</si>
  <si>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</si>
  <si>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</si>
  <si>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</si>
  <si>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</si>
  <si>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</si>
  <si>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</si>
  <si>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</si>
  <si>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</si>
  <si>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</si>
  <si>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</si>
  <si>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</si>
  <si>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</si>
  <si>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</si>
  <si>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</si>
  <si>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</si>
  <si>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</si>
  <si>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</si>
  <si>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</si>
  <si>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</si>
  <si>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</si>
  <si>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</si>
  <si>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</si>
  <si>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</si>
  <si>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</si>
  <si>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</si>
  <si>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</si>
  <si>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</si>
  <si>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</si>
  <si>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</si>
  <si>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</si>
  <si>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</si>
  <si>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</si>
  <si>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</si>
  <si>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</si>
  <si>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</si>
  <si>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</si>
  <si>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</si>
  <si>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</si>
  <si>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</si>
  <si>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</si>
  <si>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</si>
  <si>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</si>
  <si>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</si>
  <si>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</si>
  <si>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</si>
  <si>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</si>
  <si>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</si>
  <si>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</si>
  <si>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</si>
  <si>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</si>
  <si>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</si>
  <si>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</si>
  <si>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</si>
  <si>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</si>
  <si>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</si>
  <si>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</si>
  <si>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</si>
  <si>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</si>
  <si>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</si>
  <si>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</si>
  <si>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</si>
  <si>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</si>
  <si>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</si>
  <si>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</si>
  <si>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</si>
  <si>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</si>
  <si>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</si>
  <si>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</si>
  <si>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</si>
  <si>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</si>
  <si>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</si>
  <si>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</si>
  <si>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</si>
  <si>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</si>
  <si>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</si>
  <si>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</si>
  <si>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</si>
  <si>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</si>
  <si>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</si>
  <si>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</si>
  <si>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</si>
  <si>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</si>
  <si>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</si>
  <si>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</si>
  <si>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</si>
  <si>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</si>
  <si>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</si>
  <si>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</si>
  <si>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</si>
  <si>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</si>
  <si>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</si>
  <si>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</si>
  <si>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</si>
  <si>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</si>
  <si>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</si>
  <si>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</si>
  <si>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</si>
  <si>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</si>
  <si>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</si>
  <si>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</si>
  <si>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</si>
  <si>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</si>
  <si>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</si>
  <si>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</si>
  <si>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</si>
  <si>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</si>
  <si>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</si>
  <si>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</si>
  <si>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</si>
  <si>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</si>
  <si>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</si>
  <si>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</si>
  <si>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</si>
  <si>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</si>
  <si>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</si>
  <si>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</si>
  <si>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</si>
  <si>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</si>
  <si>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</si>
  <si>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</si>
  <si>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</si>
  <si>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</si>
  <si>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</si>
  <si>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</si>
  <si>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</si>
  <si>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</si>
  <si>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</si>
  <si>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</si>
  <si>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</si>
  <si>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</si>
  <si>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</si>
  <si>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</si>
  <si>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</si>
  <si>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</si>
  <si>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</si>
  <si>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</si>
  <si>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</si>
  <si>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</si>
  <si>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</si>
  <si>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</si>
  <si>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</si>
  <si>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</si>
  <si>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</si>
  <si>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</si>
  <si>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</si>
  <si>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</si>
  <si>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</si>
  <si>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</si>
  <si>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</si>
  <si>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</si>
  <si>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</si>
  <si>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</si>
  <si>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</si>
  <si>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</si>
  <si>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</si>
  <si>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</si>
  <si>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</si>
  <si>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</si>
  <si>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</si>
  <si>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</si>
  <si>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</si>
  <si>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</si>
  <si>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</si>
  <si>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</si>
  <si>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</si>
  <si>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</si>
  <si>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</si>
  <si>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</si>
  <si>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</si>
  <si>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</si>
  <si>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</si>
  <si>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</si>
  <si>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</si>
  <si>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</si>
  <si>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</si>
  <si>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</si>
  <si>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</si>
  <si>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</si>
  <si>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</si>
  <si>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</si>
  <si>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</si>
  <si>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</si>
  <si>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</si>
  <si>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</si>
  <si>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</si>
  <si>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</si>
  <si>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</si>
  <si>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</si>
  <si>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</si>
  <si>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</si>
  <si>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</si>
  <si>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</si>
  <si>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</si>
  <si>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</si>
  <si>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</si>
  <si>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</si>
  <si>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</si>
  <si>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</si>
  <si>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</si>
  <si>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</si>
  <si>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</si>
  <si>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</si>
  <si>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</si>
  <si>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</si>
  <si>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</si>
  <si>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</si>
  <si>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</si>
  <si>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</si>
  <si>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</si>
  <si>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</si>
  <si>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</si>
  <si>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</si>
  <si>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</si>
  <si>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</si>
  <si>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</si>
  <si>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</si>
  <si>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</si>
  <si>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</si>
  <si>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</si>
  <si>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</si>
  <si>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</si>
  <si>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</si>
  <si>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</si>
  <si>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</si>
  <si>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</si>
  <si>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</si>
  <si>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</si>
  <si>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</si>
  <si>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</si>
  <si>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</si>
  <si>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</si>
  <si>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</si>
  <si>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</si>
  <si>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</si>
  <si>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</si>
  <si>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</si>
  <si>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</si>
  <si>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</si>
  <si>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</si>
  <si>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</si>
  <si>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</si>
  <si>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</si>
  <si>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</si>
  <si>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</si>
  <si>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</si>
  <si>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</si>
  <si>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</si>
  <si>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</si>
  <si>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</si>
  <si>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</si>
  <si>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</si>
  <si>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</si>
  <si>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</si>
  <si>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</si>
  <si>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</si>
  <si>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</si>
  <si>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</si>
  <si>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</si>
  <si>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</si>
  <si>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</si>
  <si>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</si>
  <si>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</si>
  <si>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</si>
  <si>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</si>
  <si>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</si>
  <si>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</si>
  <si>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</si>
  <si>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</si>
  <si>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</si>
  <si>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</si>
  <si>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</si>
  <si>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</si>
  <si>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</si>
  <si>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</si>
  <si>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</si>
  <si>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</si>
  <si>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</si>
  <si>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</si>
  <si>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</si>
  <si>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</si>
  <si>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</si>
  <si>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</si>
  <si>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</si>
  <si>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</si>
  <si>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</si>
  <si>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</si>
  <si>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</si>
  <si>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</si>
  <si>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</si>
  <si>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</si>
  <si>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</si>
  <si>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</si>
  <si>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</si>
  <si>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</si>
  <si>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</si>
  <si>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</si>
  <si>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</si>
  <si>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</si>
  <si>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</si>
  <si>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</si>
  <si>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</si>
  <si>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</si>
  <si>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</si>
  <si>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</si>
  <si>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</si>
  <si>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</si>
  <si>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</si>
  <si>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</si>
  <si>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</si>
  <si>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</si>
  <si>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</si>
  <si>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</si>
  <si>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</si>
  <si>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</si>
  <si>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</si>
  <si>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</si>
  <si>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</si>
  <si>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</si>
  <si>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</si>
  <si>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</si>
  <si>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</si>
  <si>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</si>
  <si>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</si>
  <si>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</si>
  <si>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</si>
  <si>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</si>
  <si>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</si>
  <si>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</si>
  <si>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</si>
  <si>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</si>
  <si>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</si>
  <si>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</si>
  <si>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</si>
  <si>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</si>
  <si>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</si>
  <si>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</si>
  <si>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</si>
  <si>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</si>
  <si>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</si>
  <si>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</si>
  <si>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</si>
  <si>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</si>
  <si>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</si>
  <si>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</si>
  <si>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</si>
  <si>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</si>
  <si>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</si>
  <si>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</si>
  <si>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</si>
  <si>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</si>
  <si>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</si>
  <si>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</si>
  <si>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</si>
  <si>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</si>
  <si>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</si>
  <si>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</si>
  <si>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</si>
  <si>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</si>
  <si>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</si>
  <si>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</si>
  <si>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</si>
  <si>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</si>
  <si>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</si>
  <si>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</si>
  <si>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</si>
  <si>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</si>
  <si>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</si>
  <si>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</si>
  <si>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</si>
  <si>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</si>
  <si>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</si>
  <si>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</si>
  <si>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</si>
  <si>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</si>
  <si>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</si>
  <si>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</si>
  <si>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</si>
  <si>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</si>
  <si>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</si>
  <si>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</si>
  <si>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</si>
  <si>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</si>
  <si>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</si>
  <si>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</si>
  <si>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</si>
  <si>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</si>
  <si>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</si>
  <si>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</si>
  <si>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</si>
  <si>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</si>
  <si>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</si>
  <si>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</si>
  <si>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</si>
  <si>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</si>
  <si>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</si>
  <si>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</si>
  <si>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</si>
  <si>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</si>
  <si>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</si>
  <si>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</si>
  <si>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</si>
  <si>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</si>
  <si>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</si>
  <si>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</si>
  <si>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</si>
  <si>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</si>
  <si>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</si>
  <si>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</si>
  <si>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</si>
  <si>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</si>
  <si>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</si>
  <si>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</si>
  <si>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</si>
  <si>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</si>
  <si>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</si>
  <si>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</si>
  <si>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</si>
  <si>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</si>
  <si>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</si>
  <si>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</si>
  <si>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</si>
  <si>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</si>
  <si>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</si>
  <si>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</si>
  <si>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</si>
  <si>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</si>
  <si>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</si>
  <si>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</si>
  <si>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</si>
  <si>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</si>
  <si>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</si>
  <si>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</si>
  <si>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</si>
  <si>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</si>
  <si>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</si>
  <si>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</si>
  <si>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</si>
  <si>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</si>
  <si>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</si>
  <si>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</si>
  <si>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</si>
  <si>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</si>
  <si>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</si>
  <si>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</si>
  <si>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</si>
  <si>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</si>
  <si>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</si>
  <si>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</si>
  <si>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</si>
  <si>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</si>
  <si>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</si>
  <si>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</si>
  <si>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</si>
  <si>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</si>
  <si>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</si>
  <si>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</si>
  <si>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</si>
  <si>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</si>
  <si>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</si>
  <si>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</si>
  <si>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</si>
  <si>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</si>
  <si>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</si>
  <si>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</si>
  <si>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</si>
  <si>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</si>
  <si>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</si>
  <si>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</si>
  <si>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</si>
  <si>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</si>
  <si>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</si>
  <si>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</si>
  <si>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</si>
  <si>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</si>
  <si>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</si>
  <si>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</si>
  <si>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</si>
  <si>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</si>
  <si>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</si>
  <si>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</si>
  <si>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</si>
  <si>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</si>
  <si>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</si>
  <si>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</si>
  <si>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</si>
  <si>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</si>
  <si>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</si>
  <si>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</si>
  <si>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</si>
  <si>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</si>
  <si>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</si>
  <si>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</si>
  <si>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</si>
  <si>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</si>
  <si>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</si>
  <si>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</si>
  <si>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</si>
  <si>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</si>
  <si>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</si>
  <si>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</si>
  <si>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</si>
  <si>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</si>
  <si>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</si>
  <si>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</si>
  <si>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</si>
  <si>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</si>
  <si>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</si>
  <si>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</si>
  <si>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</si>
  <si>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</si>
  <si>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</si>
  <si>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</si>
  <si>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</si>
  <si>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</si>
  <si>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</si>
  <si>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</si>
  <si>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</si>
  <si>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</si>
  <si>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</si>
  <si>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</si>
  <si>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</si>
  <si>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</si>
  <si>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</si>
  <si>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</si>
  <si>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</si>
  <si>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</si>
  <si>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</si>
  <si>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</si>
  <si>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הפרשה הבראה / ביגוד/ מענק יובל</t>
  </si>
  <si>
    <t>תואם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</si>
</sst>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59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5" xfId="18" applyFont="1" applyBorder="1" applyProtection="1">
      <alignment horizontal="right" vertical="center" readingOrder="2"/>
      <protection locked="0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16" fillId="7" borderId="7" xfId="18" applyBorder="1">
      <alignment horizontal="right" vertical="center" readingOrder="2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היפר-קישור" xfId="15" builtinId="8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83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>
      <c r="A4" s="590" t="s">
        <v>584</v>
      </c>
      <c r="B4" s="590"/>
      <c r="C4" s="590"/>
      <c r="D4" s="110"/>
      <c r="E4" s="110"/>
      <c r="F4" s="110"/>
      <c r="G4" s="110"/>
      <c r="H4" s="111"/>
    </row>
    <row r="5" spans="1:8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>
      <c r="A6" s="110"/>
      <c r="B6" s="112"/>
      <c r="C6" s="431" t="s">
        <v>576</v>
      </c>
      <c r="D6" s="112"/>
      <c r="E6" s="432" t="s">
        <v>577</v>
      </c>
      <c r="F6" s="591" t="s">
        <v>578</v>
      </c>
      <c r="G6" s="592"/>
      <c r="H6" s="111"/>
    </row>
    <row r="7" spans="1:8">
      <c r="A7" s="110"/>
      <c r="B7" s="114"/>
      <c r="C7" s="115"/>
      <c r="D7" s="433"/>
      <c r="E7" s="433"/>
      <c r="F7" s="433"/>
      <c r="G7" s="434"/>
      <c r="H7" s="111"/>
    </row>
    <row r="8" spans="1:8" ht="12.75" customHeight="1">
      <c r="A8" s="110"/>
      <c r="B8" s="114"/>
      <c r="C8" s="118"/>
      <c r="D8" s="435"/>
      <c r="E8" s="436" t="s">
        <v>580</v>
      </c>
      <c r="F8" s="435" t="s">
        <v>581</v>
      </c>
      <c r="G8" s="437"/>
      <c r="H8" s="111"/>
    </row>
    <row r="9" spans="1:8" ht="4.5" customHeight="1">
      <c r="A9" s="110"/>
      <c r="B9" s="114"/>
      <c r="C9" s="115"/>
      <c r="D9" s="115"/>
      <c r="E9" s="115"/>
      <c r="F9" s="435"/>
      <c r="G9" s="437"/>
      <c r="H9" s="111"/>
    </row>
    <row r="10" spans="1:8">
      <c r="A10" s="110"/>
      <c r="B10" s="114"/>
      <c r="C10" s="438"/>
      <c r="D10" s="435"/>
      <c r="E10" s="436" t="s">
        <v>554</v>
      </c>
      <c r="F10" s="435" t="s">
        <v>579</v>
      </c>
      <c r="G10" s="437"/>
      <c r="H10" s="111"/>
    </row>
    <row r="11" spans="1:8" ht="4.5" customHeight="1">
      <c r="A11" s="110"/>
      <c r="B11" s="114"/>
      <c r="C11" s="115"/>
      <c r="D11" s="115"/>
      <c r="E11" s="115"/>
      <c r="F11" s="435"/>
      <c r="G11" s="437"/>
      <c r="H11" s="111"/>
    </row>
    <row r="12" spans="1:8">
      <c r="A12" s="110"/>
      <c r="B12" s="114"/>
      <c r="C12" s="67"/>
      <c r="D12" s="435"/>
      <c r="E12" s="436" t="s">
        <v>555</v>
      </c>
      <c r="F12" s="435" t="s">
        <v>579</v>
      </c>
      <c r="G12" s="437"/>
      <c r="H12" s="111"/>
    </row>
    <row r="13" spans="1:8" ht="4.5" customHeight="1">
      <c r="A13" s="110"/>
      <c r="B13" s="114"/>
      <c r="C13" s="115"/>
      <c r="D13" s="115"/>
      <c r="E13" s="115"/>
      <c r="F13" s="435"/>
      <c r="G13" s="437"/>
      <c r="H13" s="111"/>
    </row>
    <row r="14" spans="1:8" ht="12.95" customHeight="1">
      <c r="A14" s="110"/>
      <c r="B14" s="114"/>
      <c r="C14" s="439"/>
      <c r="D14" s="435"/>
      <c r="E14" s="436" t="s">
        <v>556</v>
      </c>
      <c r="F14" s="436" t="s">
        <v>579</v>
      </c>
      <c r="G14" s="437"/>
      <c r="H14" s="111"/>
    </row>
    <row r="15" spans="1:8" ht="4.5" customHeight="1">
      <c r="A15" s="110"/>
      <c r="B15" s="114"/>
      <c r="C15" s="115"/>
      <c r="D15" s="435"/>
      <c r="E15" s="435"/>
      <c r="F15" s="435"/>
      <c r="G15" s="437"/>
      <c r="H15" s="111"/>
    </row>
    <row r="16" spans="1:8" ht="13.5" thickBot="1">
      <c r="A16" s="110"/>
      <c r="B16" s="114"/>
      <c r="C16" s="124"/>
      <c r="D16" s="435"/>
      <c r="E16" s="436" t="s">
        <v>557</v>
      </c>
      <c r="F16" s="436" t="s">
        <v>579</v>
      </c>
      <c r="G16" s="437"/>
      <c r="H16" s="111"/>
    </row>
    <row r="17" spans="1:8" ht="6" customHeight="1" thickTop="1">
      <c r="A17" s="110"/>
      <c r="B17" s="114"/>
      <c r="C17" s="115"/>
      <c r="D17" s="435"/>
      <c r="E17" s="435"/>
      <c r="F17" s="435"/>
      <c r="G17" s="437"/>
      <c r="H17" s="111"/>
    </row>
    <row r="18" spans="1:8">
      <c r="A18" s="110"/>
      <c r="B18" s="114"/>
      <c r="C18" s="115"/>
      <c r="D18" s="435"/>
      <c r="E18" s="435"/>
      <c r="F18" s="435"/>
      <c r="G18" s="437"/>
      <c r="H18" s="111"/>
    </row>
    <row r="19" spans="1:8">
      <c r="A19" s="110"/>
      <c r="B19" s="125"/>
      <c r="C19" s="126"/>
      <c r="D19" s="126"/>
      <c r="E19" s="126"/>
      <c r="F19" s="126"/>
      <c r="G19" s="440"/>
      <c r="H19" s="111"/>
    </row>
    <row r="20" spans="1:8" ht="21.75" customHeight="1" thickBot="1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/>
    <row r="24" spans="1:8">
      <c r="A24" s="441"/>
      <c r="B24" s="441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1"/>
      <c r="Q1" s="105"/>
    </row>
    <row r="2" spans="1:17" ht="19.5" thickTop="1" thickBot="1">
      <c r="A2" s="105"/>
      <c r="B2" s="105"/>
      <c r="C2" s="642" t="s">
        <v>860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/>
      <c r="Q2" s="105"/>
    </row>
    <row r="3" spans="1:17" ht="19.5" thickTop="1" thickBot="1">
      <c r="A3" s="105"/>
      <c r="B3" s="105"/>
      <c r="C3" s="639" t="str">
        <f>ReportPeriod</f>
        <v>לתקופה: רבעון 1, שנת 2021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105"/>
    </row>
    <row r="4" spans="1:17" ht="23.25" customHeight="1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>
      <c r="A6" s="110"/>
      <c r="B6" s="114" t="s">
        <v>757</v>
      </c>
      <c r="C6" s="118">
        <v>4403714</v>
      </c>
      <c r="D6" s="115"/>
      <c r="E6" s="573">
        <v>65.95</v>
      </c>
      <c r="F6" s="115"/>
      <c r="G6" s="573">
        <v>44.75</v>
      </c>
      <c r="H6" s="115"/>
      <c r="I6" s="575">
        <f t="shared" ref="I6:I18" si="0">IF(C6=0,0,O6*1000/C6)</f>
        <v>65.424003466165146</v>
      </c>
      <c r="J6" s="115"/>
      <c r="K6" s="573">
        <v>64.680000000000007</v>
      </c>
      <c r="L6" s="115"/>
      <c r="M6" s="120">
        <f t="shared" ref="M6:M18" si="1">IF(K6=0,0,(I6-K6)/K6)</f>
        <v>1.1502836520796839E-2</v>
      </c>
      <c r="N6" s="115"/>
      <c r="O6" s="118">
        <v>288108.59999999998</v>
      </c>
      <c r="P6" s="116"/>
      <c r="Q6" s="111"/>
    </row>
    <row r="7" spans="1:17">
      <c r="A7" s="110"/>
      <c r="B7" s="114" t="s">
        <v>758</v>
      </c>
      <c r="C7" s="118">
        <v>320992</v>
      </c>
      <c r="D7" s="115"/>
      <c r="E7" s="573">
        <v>367.26</v>
      </c>
      <c r="F7" s="115"/>
      <c r="G7" s="573">
        <v>122.04</v>
      </c>
      <c r="H7" s="115"/>
      <c r="I7" s="575">
        <f t="shared" si="0"/>
        <v>281.73723955737216</v>
      </c>
      <c r="J7" s="115"/>
      <c r="K7" s="573">
        <v>295.54000000000002</v>
      </c>
      <c r="L7" s="115"/>
      <c r="M7" s="120">
        <f t="shared" si="1"/>
        <v>-4.6703527247167406E-2</v>
      </c>
      <c r="N7" s="115"/>
      <c r="O7" s="118">
        <v>90435.4</v>
      </c>
      <c r="P7" s="116"/>
      <c r="Q7" s="111"/>
    </row>
    <row r="8" spans="1:17">
      <c r="A8" s="110"/>
      <c r="B8" s="114" t="s">
        <v>759</v>
      </c>
      <c r="C8" s="177">
        <v>6997</v>
      </c>
      <c r="D8" s="115"/>
      <c r="E8" s="573">
        <v>1442.2752608260682</v>
      </c>
      <c r="F8" s="115"/>
      <c r="G8" s="573">
        <v>1442.2752608260682</v>
      </c>
      <c r="H8" s="115"/>
      <c r="I8" s="575">
        <f t="shared" si="0"/>
        <v>1442.2752608260682</v>
      </c>
      <c r="J8" s="115"/>
      <c r="K8" s="573">
        <v>1426.7</v>
      </c>
      <c r="L8" s="115"/>
      <c r="M8" s="120">
        <f t="shared" si="1"/>
        <v>1.0916983827061182E-2</v>
      </c>
      <c r="N8" s="115"/>
      <c r="O8" s="118">
        <v>10091.6</v>
      </c>
      <c r="P8" s="116"/>
      <c r="Q8" s="111"/>
    </row>
    <row r="9" spans="1:17">
      <c r="A9" s="110"/>
      <c r="B9" s="114" t="s">
        <v>760</v>
      </c>
      <c r="C9" s="118">
        <v>182603</v>
      </c>
      <c r="D9" s="115"/>
      <c r="E9" s="573">
        <v>172.52</v>
      </c>
      <c r="F9" s="115"/>
      <c r="G9" s="573">
        <v>55.9</v>
      </c>
      <c r="H9" s="115"/>
      <c r="I9" s="575">
        <f t="shared" si="0"/>
        <v>163.20651906047547</v>
      </c>
      <c r="J9" s="115"/>
      <c r="K9" s="573">
        <v>161.76</v>
      </c>
      <c r="L9" s="115"/>
      <c r="M9" s="120">
        <f t="shared" si="1"/>
        <v>8.9423779702984731E-3</v>
      </c>
      <c r="N9" s="115"/>
      <c r="O9" s="118">
        <v>29802</v>
      </c>
      <c r="P9" s="116"/>
      <c r="Q9" s="111"/>
    </row>
    <row r="10" spans="1:17">
      <c r="A10" s="110"/>
      <c r="B10" s="114" t="s">
        <v>761</v>
      </c>
      <c r="C10" s="177">
        <v>13651</v>
      </c>
      <c r="D10" s="115"/>
      <c r="E10" s="573">
        <v>91.62</v>
      </c>
      <c r="F10" s="115"/>
      <c r="G10" s="573">
        <v>82.53</v>
      </c>
      <c r="H10" s="115"/>
      <c r="I10" s="575">
        <f t="shared" si="0"/>
        <v>89.085048714379894</v>
      </c>
      <c r="J10" s="115"/>
      <c r="K10" s="573">
        <v>88.08</v>
      </c>
      <c r="L10" s="115"/>
      <c r="M10" s="120">
        <f t="shared" si="1"/>
        <v>1.1410634813577385E-2</v>
      </c>
      <c r="N10" s="115"/>
      <c r="O10" s="118">
        <v>1216.0999999999999</v>
      </c>
      <c r="P10" s="116"/>
      <c r="Q10" s="111"/>
    </row>
    <row r="11" spans="1:17">
      <c r="A11" s="110"/>
      <c r="B11" s="114" t="s">
        <v>762</v>
      </c>
      <c r="C11" s="118">
        <v>16203</v>
      </c>
      <c r="D11" s="115"/>
      <c r="E11" s="573">
        <v>386.66</v>
      </c>
      <c r="F11" s="115"/>
      <c r="G11" s="573">
        <v>232.88</v>
      </c>
      <c r="H11" s="115"/>
      <c r="I11" s="575">
        <f t="shared" si="0"/>
        <v>263.73511078195395</v>
      </c>
      <c r="J11" s="115"/>
      <c r="K11" s="573">
        <v>264.64999999999998</v>
      </c>
      <c r="L11" s="115"/>
      <c r="M11" s="120">
        <f t="shared" si="1"/>
        <v>-3.4569779635217385E-3</v>
      </c>
      <c r="N11" s="115"/>
      <c r="O11" s="118">
        <v>4273.3</v>
      </c>
      <c r="P11" s="116"/>
      <c r="Q11" s="111"/>
    </row>
    <row r="12" spans="1:17">
      <c r="A12" s="110"/>
      <c r="B12" s="117" t="s">
        <v>568</v>
      </c>
      <c r="C12" s="118"/>
      <c r="D12" s="115"/>
      <c r="E12" s="574"/>
      <c r="F12" s="115"/>
      <c r="G12" s="574"/>
      <c r="H12" s="115"/>
      <c r="I12" s="576">
        <f t="shared" si="0"/>
        <v>0</v>
      </c>
      <c r="J12" s="115"/>
      <c r="K12" s="574"/>
      <c r="L12" s="115"/>
      <c r="M12" s="120">
        <f t="shared" si="1"/>
        <v>0</v>
      </c>
      <c r="N12" s="115"/>
      <c r="O12" s="118"/>
      <c r="P12" s="116"/>
      <c r="Q12" s="111"/>
    </row>
    <row r="13" spans="1:17">
      <c r="A13" s="110"/>
      <c r="B13" s="117" t="s">
        <v>569</v>
      </c>
      <c r="C13" s="118">
        <v>201162</v>
      </c>
      <c r="D13" s="115"/>
      <c r="E13" s="574">
        <v>38.76</v>
      </c>
      <c r="F13" s="115"/>
      <c r="G13" s="574">
        <v>1.32</v>
      </c>
      <c r="H13" s="115"/>
      <c r="I13" s="576">
        <f t="shared" si="0"/>
        <v>34.59202036169853</v>
      </c>
      <c r="J13" s="115"/>
      <c r="K13" s="574">
        <v>34.229999999999997</v>
      </c>
      <c r="L13" s="115"/>
      <c r="M13" s="120">
        <f t="shared" si="1"/>
        <v>1.0576113400483015E-2</v>
      </c>
      <c r="N13" s="115"/>
      <c r="O13" s="118">
        <v>6958.6</v>
      </c>
      <c r="P13" s="116"/>
      <c r="Q13" s="111"/>
    </row>
    <row r="14" spans="1:17">
      <c r="A14" s="110"/>
      <c r="B14" s="117" t="s">
        <v>570</v>
      </c>
      <c r="C14" s="118"/>
      <c r="D14" s="115"/>
      <c r="E14" s="574"/>
      <c r="F14" s="115"/>
      <c r="G14" s="574"/>
      <c r="H14" s="115"/>
      <c r="I14" s="576">
        <f t="shared" si="0"/>
        <v>0</v>
      </c>
      <c r="J14" s="115"/>
      <c r="K14" s="574"/>
      <c r="L14" s="115"/>
      <c r="M14" s="120">
        <f t="shared" si="1"/>
        <v>0</v>
      </c>
      <c r="N14" s="115"/>
      <c r="O14" s="118"/>
      <c r="P14" s="116"/>
      <c r="Q14" s="111"/>
    </row>
    <row r="15" spans="1:17">
      <c r="A15" s="110"/>
      <c r="B15" s="114" t="s">
        <v>763</v>
      </c>
      <c r="C15" s="118">
        <v>135850</v>
      </c>
      <c r="D15" s="115"/>
      <c r="E15" s="573">
        <v>38.76</v>
      </c>
      <c r="F15" s="115"/>
      <c r="G15" s="573">
        <v>19.75</v>
      </c>
      <c r="H15" s="115"/>
      <c r="I15" s="575">
        <f t="shared" si="0"/>
        <v>25.971291866028707</v>
      </c>
      <c r="J15" s="115"/>
      <c r="K15" s="573">
        <v>25.58</v>
      </c>
      <c r="L15" s="115"/>
      <c r="M15" s="120">
        <f t="shared" si="1"/>
        <v>1.5296789133256805E-2</v>
      </c>
      <c r="N15" s="115"/>
      <c r="O15" s="118">
        <v>3528.2</v>
      </c>
      <c r="P15" s="116"/>
      <c r="Q15" s="111"/>
    </row>
    <row r="16" spans="1:17">
      <c r="A16" s="110"/>
      <c r="B16" s="114" t="s">
        <v>764</v>
      </c>
      <c r="C16" s="118"/>
      <c r="D16" s="115"/>
      <c r="E16" s="573"/>
      <c r="F16" s="115"/>
      <c r="G16" s="573"/>
      <c r="H16" s="115"/>
      <c r="I16" s="575">
        <f t="shared" si="0"/>
        <v>0</v>
      </c>
      <c r="J16" s="115"/>
      <c r="K16" s="573"/>
      <c r="L16" s="115"/>
      <c r="M16" s="120">
        <f t="shared" si="1"/>
        <v>0</v>
      </c>
      <c r="N16" s="115"/>
      <c r="O16" s="118"/>
      <c r="P16" s="116"/>
      <c r="Q16" s="111"/>
    </row>
    <row r="17" spans="1:17">
      <c r="A17" s="110"/>
      <c r="B17" s="114" t="s">
        <v>765</v>
      </c>
      <c r="C17" s="118">
        <v>78305</v>
      </c>
      <c r="D17" s="115"/>
      <c r="E17" s="573">
        <v>68.64</v>
      </c>
      <c r="F17" s="115"/>
      <c r="G17" s="573">
        <v>68.636740948853841</v>
      </c>
      <c r="H17" s="115"/>
      <c r="I17" s="575">
        <f t="shared" si="0"/>
        <v>68.636740948853841</v>
      </c>
      <c r="J17" s="115"/>
      <c r="K17" s="573">
        <v>70.290000000000006</v>
      </c>
      <c r="L17" s="115"/>
      <c r="M17" s="120">
        <f t="shared" si="1"/>
        <v>-2.3520544190441951E-2</v>
      </c>
      <c r="N17" s="115"/>
      <c r="O17" s="118">
        <v>5374.6</v>
      </c>
      <c r="P17" s="116"/>
      <c r="Q17" s="111"/>
    </row>
    <row r="18" spans="1:17">
      <c r="A18" s="110"/>
      <c r="B18" s="114" t="s">
        <v>766</v>
      </c>
      <c r="C18" s="118">
        <v>7456</v>
      </c>
      <c r="D18" s="115"/>
      <c r="E18" s="573">
        <v>317.95999999999998</v>
      </c>
      <c r="F18" s="115"/>
      <c r="G18" s="573">
        <v>77.58</v>
      </c>
      <c r="H18" s="115"/>
      <c r="I18" s="575">
        <f t="shared" si="0"/>
        <v>290.30311158798281</v>
      </c>
      <c r="J18" s="115"/>
      <c r="K18" s="573">
        <v>286.13</v>
      </c>
      <c r="L18" s="115"/>
      <c r="M18" s="120">
        <f t="shared" si="1"/>
        <v>1.4584669863288774E-2</v>
      </c>
      <c r="N18" s="115"/>
      <c r="O18" s="118">
        <v>2164.5</v>
      </c>
      <c r="P18" s="116"/>
      <c r="Q18" s="111"/>
    </row>
    <row r="19" spans="1:17" ht="13.5" thickBot="1">
      <c r="A19" s="110"/>
      <c r="B19" s="114" t="s">
        <v>767</v>
      </c>
      <c r="C19" s="124">
        <f>SUM(C6:C18)</f>
        <v>5366933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441952.89999999991</v>
      </c>
      <c r="P19" s="116"/>
      <c r="Q19" s="111"/>
    </row>
    <row r="20" spans="1:17" ht="6.75" customHeight="1" thickTop="1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>
      <c r="A22" s="110"/>
      <c r="B22" s="205" t="s">
        <v>770</v>
      </c>
      <c r="C22" s="118"/>
      <c r="D22" s="115"/>
      <c r="E22" s="573"/>
      <c r="F22" s="115"/>
      <c r="G22" s="573"/>
      <c r="H22" s="115"/>
      <c r="I22" s="575">
        <f>IF(C22=0,0,O22*1000/C22)</f>
        <v>0</v>
      </c>
      <c r="J22" s="115"/>
      <c r="K22" s="573"/>
      <c r="L22" s="115"/>
      <c r="M22" s="120">
        <f>IF(K22=0,0,(I22-K22)/K22)</f>
        <v>0</v>
      </c>
      <c r="N22" s="115"/>
      <c r="O22" s="118"/>
      <c r="P22" s="116"/>
      <c r="Q22" s="111"/>
    </row>
    <row r="23" spans="1:17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9"/>
      <c r="Q24" s="111"/>
    </row>
    <row r="25" spans="1:17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/>
    <row r="300" spans="2:16" ht="18">
      <c r="B300" s="206"/>
      <c r="C300" s="637" t="str">
        <f t="shared" ref="C300:N315" si="2">C1</f>
        <v>עיריית בת-ים</v>
      </c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129">
        <f t="shared" ref="O300:P315" si="3">O1</f>
        <v>0</v>
      </c>
      <c r="P300" s="129">
        <f t="shared" si="3"/>
        <v>0</v>
      </c>
    </row>
    <row r="301" spans="2:16" ht="18">
      <c r="B301" s="206"/>
      <c r="C301" s="637" t="str">
        <f t="shared" si="2"/>
        <v>תעריפי ארנונה וסך חיוב</v>
      </c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129">
        <f t="shared" si="3"/>
        <v>0</v>
      </c>
      <c r="P301" s="129">
        <f t="shared" si="3"/>
        <v>0</v>
      </c>
    </row>
    <row r="302" spans="2:16" ht="18">
      <c r="B302" s="206"/>
      <c r="C302" s="637" t="str">
        <f t="shared" si="2"/>
        <v>לתקופה: רבעון 1, שנת 2021</v>
      </c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129">
        <f t="shared" si="3"/>
        <v>0</v>
      </c>
      <c r="P302" s="129">
        <f t="shared" si="3"/>
        <v>0</v>
      </c>
    </row>
    <row r="303" spans="2:16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>
      <c r="B305" s="132" t="str">
        <f t="shared" si="4"/>
        <v>מבני מגורים</v>
      </c>
      <c r="C305" s="207">
        <f t="shared" si="2"/>
        <v>4403714</v>
      </c>
      <c r="D305" s="208">
        <f t="shared" si="2"/>
        <v>0</v>
      </c>
      <c r="E305" s="207">
        <f t="shared" si="2"/>
        <v>65.95</v>
      </c>
      <c r="F305" s="208">
        <f t="shared" si="2"/>
        <v>0</v>
      </c>
      <c r="G305" s="207">
        <f t="shared" si="2"/>
        <v>44.75</v>
      </c>
      <c r="H305" s="208">
        <f t="shared" si="2"/>
        <v>0</v>
      </c>
      <c r="I305" s="209">
        <f t="shared" si="2"/>
        <v>65.424003466165146</v>
      </c>
      <c r="J305" s="208">
        <f t="shared" si="2"/>
        <v>0</v>
      </c>
      <c r="K305" s="207">
        <f t="shared" si="2"/>
        <v>64.680000000000007</v>
      </c>
      <c r="L305" s="208">
        <f t="shared" si="2"/>
        <v>0</v>
      </c>
      <c r="M305" s="210">
        <f t="shared" si="2"/>
        <v>1.1502836520796839E-2</v>
      </c>
      <c r="N305" s="208">
        <f t="shared" si="2"/>
        <v>0</v>
      </c>
      <c r="O305" s="207">
        <f t="shared" si="3"/>
        <v>288108.59999999998</v>
      </c>
      <c r="P305" s="211">
        <f t="shared" si="3"/>
        <v>0</v>
      </c>
    </row>
    <row r="306" spans="2:16">
      <c r="B306" s="132" t="str">
        <f t="shared" si="4"/>
        <v>משרדים שרותים ומסחר</v>
      </c>
      <c r="C306" s="212">
        <f t="shared" si="2"/>
        <v>320992</v>
      </c>
      <c r="D306" s="208">
        <f t="shared" si="2"/>
        <v>0</v>
      </c>
      <c r="E306" s="212">
        <f t="shared" si="2"/>
        <v>367.26</v>
      </c>
      <c r="F306" s="208">
        <f t="shared" si="2"/>
        <v>0</v>
      </c>
      <c r="G306" s="212">
        <f t="shared" si="2"/>
        <v>122.04</v>
      </c>
      <c r="H306" s="208">
        <f t="shared" si="2"/>
        <v>0</v>
      </c>
      <c r="I306" s="213">
        <f t="shared" si="2"/>
        <v>281.73723955737216</v>
      </c>
      <c r="J306" s="208">
        <f t="shared" si="2"/>
        <v>0</v>
      </c>
      <c r="K306" s="212">
        <f t="shared" si="2"/>
        <v>295.54000000000002</v>
      </c>
      <c r="L306" s="208">
        <f t="shared" si="2"/>
        <v>0</v>
      </c>
      <c r="M306" s="214">
        <f t="shared" si="2"/>
        <v>-4.6703527247167406E-2</v>
      </c>
      <c r="N306" s="208">
        <f t="shared" si="2"/>
        <v>0</v>
      </c>
      <c r="O306" s="212">
        <f t="shared" si="3"/>
        <v>90435.4</v>
      </c>
      <c r="P306" s="211">
        <f t="shared" si="3"/>
        <v>0</v>
      </c>
    </row>
    <row r="307" spans="2:16">
      <c r="B307" s="132" t="str">
        <f t="shared" si="4"/>
        <v>בנקים</v>
      </c>
      <c r="C307" s="212">
        <f t="shared" si="2"/>
        <v>6997</v>
      </c>
      <c r="D307" s="208">
        <f t="shared" si="2"/>
        <v>0</v>
      </c>
      <c r="E307" s="212">
        <f t="shared" si="2"/>
        <v>1442.2752608260682</v>
      </c>
      <c r="F307" s="208">
        <f t="shared" si="2"/>
        <v>0</v>
      </c>
      <c r="G307" s="212">
        <f t="shared" si="2"/>
        <v>1442.2752608260682</v>
      </c>
      <c r="H307" s="208">
        <f t="shared" si="2"/>
        <v>0</v>
      </c>
      <c r="I307" s="213">
        <f t="shared" si="2"/>
        <v>1442.2752608260682</v>
      </c>
      <c r="J307" s="208">
        <f t="shared" si="2"/>
        <v>0</v>
      </c>
      <c r="K307" s="212">
        <f t="shared" si="2"/>
        <v>1426.7</v>
      </c>
      <c r="L307" s="208">
        <f t="shared" si="2"/>
        <v>0</v>
      </c>
      <c r="M307" s="214">
        <f t="shared" si="2"/>
        <v>1.0916983827061182E-2</v>
      </c>
      <c r="N307" s="208">
        <f t="shared" si="2"/>
        <v>0</v>
      </c>
      <c r="O307" s="212">
        <f t="shared" si="3"/>
        <v>10091.6</v>
      </c>
      <c r="P307" s="211">
        <f t="shared" si="3"/>
        <v>0</v>
      </c>
    </row>
    <row r="308" spans="2:16">
      <c r="B308" s="132" t="str">
        <f t="shared" si="4"/>
        <v>תעשיה</v>
      </c>
      <c r="C308" s="212">
        <f t="shared" si="2"/>
        <v>182603</v>
      </c>
      <c r="D308" s="208">
        <f t="shared" si="2"/>
        <v>0</v>
      </c>
      <c r="E308" s="212">
        <f t="shared" si="2"/>
        <v>172.52</v>
      </c>
      <c r="F308" s="208">
        <f t="shared" si="2"/>
        <v>0</v>
      </c>
      <c r="G308" s="212">
        <f t="shared" si="2"/>
        <v>55.9</v>
      </c>
      <c r="H308" s="208">
        <f t="shared" si="2"/>
        <v>0</v>
      </c>
      <c r="I308" s="213">
        <f t="shared" si="2"/>
        <v>163.20651906047547</v>
      </c>
      <c r="J308" s="208">
        <f t="shared" si="2"/>
        <v>0</v>
      </c>
      <c r="K308" s="212">
        <f t="shared" si="2"/>
        <v>161.76</v>
      </c>
      <c r="L308" s="208">
        <f t="shared" si="2"/>
        <v>0</v>
      </c>
      <c r="M308" s="214">
        <f t="shared" si="2"/>
        <v>8.9423779702984731E-3</v>
      </c>
      <c r="N308" s="208">
        <f t="shared" si="2"/>
        <v>0</v>
      </c>
      <c r="O308" s="212">
        <f t="shared" si="3"/>
        <v>29802</v>
      </c>
      <c r="P308" s="211">
        <f t="shared" si="3"/>
        <v>0</v>
      </c>
    </row>
    <row r="309" spans="2:16">
      <c r="B309" s="132" t="str">
        <f t="shared" si="4"/>
        <v>בתי מלון</v>
      </c>
      <c r="C309" s="212">
        <f t="shared" si="2"/>
        <v>13651</v>
      </c>
      <c r="D309" s="208">
        <f t="shared" si="2"/>
        <v>0</v>
      </c>
      <c r="E309" s="212">
        <f t="shared" si="2"/>
        <v>91.62</v>
      </c>
      <c r="F309" s="208">
        <f t="shared" si="2"/>
        <v>0</v>
      </c>
      <c r="G309" s="212">
        <f t="shared" si="2"/>
        <v>82.53</v>
      </c>
      <c r="H309" s="208">
        <f t="shared" si="2"/>
        <v>0</v>
      </c>
      <c r="I309" s="213">
        <f t="shared" si="2"/>
        <v>89.085048714379894</v>
      </c>
      <c r="J309" s="208">
        <f t="shared" si="2"/>
        <v>0</v>
      </c>
      <c r="K309" s="212">
        <f t="shared" si="2"/>
        <v>88.08</v>
      </c>
      <c r="L309" s="208">
        <f t="shared" si="2"/>
        <v>0</v>
      </c>
      <c r="M309" s="214">
        <f t="shared" si="2"/>
        <v>1.1410634813577385E-2</v>
      </c>
      <c r="N309" s="208">
        <f t="shared" si="2"/>
        <v>0</v>
      </c>
      <c r="O309" s="212">
        <f t="shared" si="3"/>
        <v>1216.0999999999999</v>
      </c>
      <c r="P309" s="211">
        <f t="shared" si="3"/>
        <v>0</v>
      </c>
    </row>
    <row r="310" spans="2:16">
      <c r="B310" s="132" t="str">
        <f t="shared" si="4"/>
        <v>מלאכה</v>
      </c>
      <c r="C310" s="212">
        <f t="shared" si="2"/>
        <v>16203</v>
      </c>
      <c r="D310" s="208">
        <f t="shared" si="2"/>
        <v>0</v>
      </c>
      <c r="E310" s="212">
        <f t="shared" si="2"/>
        <v>386.66</v>
      </c>
      <c r="F310" s="208">
        <f t="shared" si="2"/>
        <v>0</v>
      </c>
      <c r="G310" s="212">
        <f t="shared" si="2"/>
        <v>232.88</v>
      </c>
      <c r="H310" s="208">
        <f t="shared" si="2"/>
        <v>0</v>
      </c>
      <c r="I310" s="213">
        <f t="shared" si="2"/>
        <v>263.73511078195395</v>
      </c>
      <c r="J310" s="208">
        <f t="shared" si="2"/>
        <v>0</v>
      </c>
      <c r="K310" s="212">
        <f t="shared" si="2"/>
        <v>264.64999999999998</v>
      </c>
      <c r="L310" s="208">
        <f t="shared" si="2"/>
        <v>0</v>
      </c>
      <c r="M310" s="214">
        <f t="shared" si="2"/>
        <v>-3.4569779635217385E-3</v>
      </c>
      <c r="N310" s="208">
        <f t="shared" si="2"/>
        <v>0</v>
      </c>
      <c r="O310" s="212">
        <f t="shared" si="3"/>
        <v>4273.3</v>
      </c>
      <c r="P310" s="211">
        <f t="shared" si="3"/>
        <v>0</v>
      </c>
    </row>
    <row r="311" spans="2:16">
      <c r="B311" s="132" t="str">
        <f t="shared" si="4"/>
        <v>אדמה חקלאית (לדונם)</v>
      </c>
      <c r="C311" s="212">
        <f t="shared" si="2"/>
        <v>0</v>
      </c>
      <c r="D311" s="208">
        <f t="shared" si="2"/>
        <v>0</v>
      </c>
      <c r="E311" s="212">
        <f t="shared" si="2"/>
        <v>0</v>
      </c>
      <c r="F311" s="208">
        <f t="shared" si="2"/>
        <v>0</v>
      </c>
      <c r="G311" s="212">
        <f t="shared" si="2"/>
        <v>0</v>
      </c>
      <c r="H311" s="208">
        <f t="shared" si="2"/>
        <v>0</v>
      </c>
      <c r="I311" s="213">
        <f t="shared" si="2"/>
        <v>0</v>
      </c>
      <c r="J311" s="208">
        <f t="shared" si="2"/>
        <v>0</v>
      </c>
      <c r="K311" s="212">
        <f t="shared" si="2"/>
        <v>0</v>
      </c>
      <c r="L311" s="208">
        <f t="shared" si="2"/>
        <v>0</v>
      </c>
      <c r="M311" s="214">
        <f t="shared" si="2"/>
        <v>0</v>
      </c>
      <c r="N311" s="208">
        <f t="shared" si="2"/>
        <v>0</v>
      </c>
      <c r="O311" s="212">
        <f t="shared" si="3"/>
        <v>0</v>
      </c>
      <c r="P311" s="211">
        <f t="shared" si="3"/>
        <v>0</v>
      </c>
    </row>
    <row r="312" spans="2:16">
      <c r="B312" s="132" t="str">
        <f t="shared" si="4"/>
        <v>קרקע תפוסה (לדונם)</v>
      </c>
      <c r="C312" s="212">
        <f t="shared" si="2"/>
        <v>201162</v>
      </c>
      <c r="D312" s="208">
        <f t="shared" si="2"/>
        <v>0</v>
      </c>
      <c r="E312" s="212">
        <f t="shared" si="2"/>
        <v>38.76</v>
      </c>
      <c r="F312" s="208">
        <f t="shared" si="2"/>
        <v>0</v>
      </c>
      <c r="G312" s="212">
        <f t="shared" si="2"/>
        <v>1.32</v>
      </c>
      <c r="H312" s="208">
        <f t="shared" si="2"/>
        <v>0</v>
      </c>
      <c r="I312" s="213">
        <f t="shared" si="2"/>
        <v>34.59202036169853</v>
      </c>
      <c r="J312" s="208">
        <f t="shared" si="2"/>
        <v>0</v>
      </c>
      <c r="K312" s="212">
        <f t="shared" si="2"/>
        <v>34.229999999999997</v>
      </c>
      <c r="L312" s="208">
        <f t="shared" si="2"/>
        <v>0</v>
      </c>
      <c r="M312" s="214">
        <f t="shared" si="2"/>
        <v>1.0576113400483015E-2</v>
      </c>
      <c r="N312" s="208">
        <f t="shared" si="2"/>
        <v>0</v>
      </c>
      <c r="O312" s="212">
        <f t="shared" si="3"/>
        <v>6958.6</v>
      </c>
      <c r="P312" s="211">
        <f t="shared" si="3"/>
        <v>0</v>
      </c>
    </row>
    <row r="313" spans="2:16">
      <c r="B313" s="132" t="str">
        <f t="shared" si="4"/>
        <v>קרקע במפעל עתיר שטח (לדונם)</v>
      </c>
      <c r="C313" s="212">
        <f t="shared" si="2"/>
        <v>0</v>
      </c>
      <c r="D313" s="208">
        <f t="shared" si="2"/>
        <v>0</v>
      </c>
      <c r="E313" s="212">
        <f t="shared" si="2"/>
        <v>0</v>
      </c>
      <c r="F313" s="208">
        <f t="shared" si="2"/>
        <v>0</v>
      </c>
      <c r="G313" s="212">
        <f t="shared" si="2"/>
        <v>0</v>
      </c>
      <c r="H313" s="208">
        <f t="shared" si="2"/>
        <v>0</v>
      </c>
      <c r="I313" s="213">
        <f t="shared" si="2"/>
        <v>0</v>
      </c>
      <c r="J313" s="208">
        <f t="shared" si="2"/>
        <v>0</v>
      </c>
      <c r="K313" s="212">
        <f t="shared" si="2"/>
        <v>0</v>
      </c>
      <c r="L313" s="208">
        <f t="shared" si="2"/>
        <v>0</v>
      </c>
      <c r="M313" s="214">
        <f t="shared" si="2"/>
        <v>0</v>
      </c>
      <c r="N313" s="208">
        <f t="shared" si="2"/>
        <v>0</v>
      </c>
      <c r="O313" s="212">
        <f t="shared" si="3"/>
        <v>0</v>
      </c>
      <c r="P313" s="211">
        <f t="shared" si="3"/>
        <v>0</v>
      </c>
    </row>
    <row r="314" spans="2:16">
      <c r="B314" s="132" t="str">
        <f t="shared" si="4"/>
        <v>חניונים</v>
      </c>
      <c r="C314" s="212">
        <f t="shared" si="2"/>
        <v>135850</v>
      </c>
      <c r="D314" s="208">
        <f t="shared" si="2"/>
        <v>0</v>
      </c>
      <c r="E314" s="212">
        <f t="shared" si="2"/>
        <v>38.76</v>
      </c>
      <c r="F314" s="208">
        <f t="shared" si="2"/>
        <v>0</v>
      </c>
      <c r="G314" s="212">
        <f t="shared" si="2"/>
        <v>19.75</v>
      </c>
      <c r="H314" s="208">
        <f t="shared" si="2"/>
        <v>0</v>
      </c>
      <c r="I314" s="213">
        <f t="shared" si="2"/>
        <v>25.971291866028707</v>
      </c>
      <c r="J314" s="208">
        <f t="shared" si="2"/>
        <v>0</v>
      </c>
      <c r="K314" s="212">
        <f t="shared" si="2"/>
        <v>25.58</v>
      </c>
      <c r="L314" s="208">
        <f t="shared" si="2"/>
        <v>0</v>
      </c>
      <c r="M314" s="214">
        <f t="shared" si="2"/>
        <v>1.5296789133256805E-2</v>
      </c>
      <c r="N314" s="208">
        <f t="shared" si="2"/>
        <v>0</v>
      </c>
      <c r="O314" s="212">
        <f t="shared" si="3"/>
        <v>3528.2</v>
      </c>
      <c r="P314" s="211">
        <f t="shared" si="3"/>
        <v>0</v>
      </c>
    </row>
    <row r="315" spans="2:16">
      <c r="B315" s="132" t="str">
        <f t="shared" si="4"/>
        <v>מבנה חקלאי</v>
      </c>
      <c r="C315" s="212">
        <f t="shared" si="2"/>
        <v>0</v>
      </c>
      <c r="D315" s="208">
        <f t="shared" si="2"/>
        <v>0</v>
      </c>
      <c r="E315" s="212">
        <f t="shared" si="2"/>
        <v>0</v>
      </c>
      <c r="F315" s="208">
        <f t="shared" si="2"/>
        <v>0</v>
      </c>
      <c r="G315" s="212">
        <f t="shared" si="2"/>
        <v>0</v>
      </c>
      <c r="H315" s="208">
        <f t="shared" si="2"/>
        <v>0</v>
      </c>
      <c r="I315" s="213">
        <f t="shared" si="2"/>
        <v>0</v>
      </c>
      <c r="J315" s="208">
        <f t="shared" si="2"/>
        <v>0</v>
      </c>
      <c r="K315" s="212">
        <f t="shared" si="2"/>
        <v>0</v>
      </c>
      <c r="L315" s="208">
        <f t="shared" si="2"/>
        <v>0</v>
      </c>
      <c r="M315" s="214">
        <f t="shared" si="2"/>
        <v>0</v>
      </c>
      <c r="N315" s="208">
        <f t="shared" si="2"/>
        <v>0</v>
      </c>
      <c r="O315" s="212">
        <f t="shared" si="3"/>
        <v>0</v>
      </c>
      <c r="P315" s="211">
        <f t="shared" si="3"/>
        <v>0</v>
      </c>
    </row>
    <row r="316" spans="2:16">
      <c r="B316" s="132" t="str">
        <f t="shared" si="4"/>
        <v>נכסי מדינה</v>
      </c>
      <c r="C316" s="212">
        <f t="shared" ref="C316:P316" si="5">C17</f>
        <v>78305</v>
      </c>
      <c r="D316" s="208">
        <f t="shared" si="5"/>
        <v>0</v>
      </c>
      <c r="E316" s="212">
        <f t="shared" si="5"/>
        <v>68.64</v>
      </c>
      <c r="F316" s="208">
        <f t="shared" si="5"/>
        <v>0</v>
      </c>
      <c r="G316" s="212">
        <f t="shared" si="5"/>
        <v>68.636740948853841</v>
      </c>
      <c r="H316" s="208">
        <f t="shared" si="5"/>
        <v>0</v>
      </c>
      <c r="I316" s="213">
        <f t="shared" si="5"/>
        <v>68.636740948853841</v>
      </c>
      <c r="J316" s="208">
        <f t="shared" si="5"/>
        <v>0</v>
      </c>
      <c r="K316" s="212">
        <f t="shared" si="5"/>
        <v>70.290000000000006</v>
      </c>
      <c r="L316" s="208">
        <f t="shared" si="5"/>
        <v>0</v>
      </c>
      <c r="M316" s="214">
        <f t="shared" si="5"/>
        <v>-2.3520544190441951E-2</v>
      </c>
      <c r="N316" s="208">
        <f t="shared" si="5"/>
        <v>0</v>
      </c>
      <c r="O316" s="212">
        <f t="shared" si="5"/>
        <v>5374.6</v>
      </c>
      <c r="P316" s="211">
        <f t="shared" si="5"/>
        <v>0</v>
      </c>
    </row>
    <row r="317" spans="2:16">
      <c r="B317" s="132" t="str">
        <f t="shared" si="4"/>
        <v>נכסים אחרים</v>
      </c>
      <c r="C317" s="212">
        <f t="shared" ref="C317:P317" si="6">C18</f>
        <v>7456</v>
      </c>
      <c r="D317" s="208">
        <f t="shared" si="6"/>
        <v>0</v>
      </c>
      <c r="E317" s="212">
        <f t="shared" si="6"/>
        <v>317.95999999999998</v>
      </c>
      <c r="F317" s="208">
        <f t="shared" si="6"/>
        <v>0</v>
      </c>
      <c r="G317" s="212">
        <f t="shared" si="6"/>
        <v>77.58</v>
      </c>
      <c r="H317" s="208">
        <f t="shared" si="6"/>
        <v>0</v>
      </c>
      <c r="I317" s="213">
        <f t="shared" si="6"/>
        <v>290.30311158798281</v>
      </c>
      <c r="J317" s="208">
        <f t="shared" si="6"/>
        <v>0</v>
      </c>
      <c r="K317" s="212">
        <f t="shared" si="6"/>
        <v>286.13</v>
      </c>
      <c r="L317" s="208">
        <f t="shared" si="6"/>
        <v>0</v>
      </c>
      <c r="M317" s="214">
        <f t="shared" si="6"/>
        <v>1.4584669863288774E-2</v>
      </c>
      <c r="N317" s="208">
        <f t="shared" si="6"/>
        <v>0</v>
      </c>
      <c r="O317" s="212">
        <f t="shared" si="6"/>
        <v>2164.5</v>
      </c>
      <c r="P317" s="211">
        <f t="shared" si="6"/>
        <v>0</v>
      </c>
    </row>
    <row r="318" spans="2:16" ht="13.5" thickBot="1">
      <c r="B318" s="132" t="str">
        <f t="shared" si="4"/>
        <v>סה"כ</v>
      </c>
      <c r="C318" s="215">
        <f t="shared" ref="C318:P318" si="7">C19</f>
        <v>5366933</v>
      </c>
      <c r="D318" s="208">
        <f t="shared" si="7"/>
        <v>0</v>
      </c>
      <c r="E318" s="208">
        <f t="shared" si="7"/>
        <v>0</v>
      </c>
      <c r="F318" s="208">
        <f t="shared" si="7"/>
        <v>0</v>
      </c>
      <c r="G318" s="208">
        <f t="shared" si="7"/>
        <v>0</v>
      </c>
      <c r="H318" s="208">
        <f t="shared" si="7"/>
        <v>0</v>
      </c>
      <c r="I318" s="208">
        <f t="shared" si="7"/>
        <v>0</v>
      </c>
      <c r="J318" s="208">
        <f t="shared" si="7"/>
        <v>0</v>
      </c>
      <c r="K318" s="208">
        <f t="shared" si="7"/>
        <v>0</v>
      </c>
      <c r="L318" s="208">
        <f t="shared" si="7"/>
        <v>0</v>
      </c>
      <c r="M318" s="208">
        <f t="shared" si="7"/>
        <v>0</v>
      </c>
      <c r="N318" s="208">
        <f t="shared" si="7"/>
        <v>0</v>
      </c>
      <c r="O318" s="215">
        <f t="shared" si="7"/>
        <v>441952.89999999991</v>
      </c>
      <c r="P318" s="211">
        <f t="shared" si="7"/>
        <v>0</v>
      </c>
    </row>
    <row r="319" spans="2:16" ht="13.5" thickTop="1">
      <c r="B319" s="132">
        <f t="shared" ref="B319:P322" si="8">B20</f>
        <v>0</v>
      </c>
      <c r="C319" s="208">
        <f t="shared" si="8"/>
        <v>0</v>
      </c>
      <c r="D319" s="208">
        <f t="shared" si="8"/>
        <v>0</v>
      </c>
      <c r="E319" s="208">
        <f t="shared" si="8"/>
        <v>0</v>
      </c>
      <c r="F319" s="208">
        <f t="shared" si="8"/>
        <v>0</v>
      </c>
      <c r="G319" s="208">
        <f t="shared" si="8"/>
        <v>0</v>
      </c>
      <c r="H319" s="208">
        <f t="shared" si="8"/>
        <v>0</v>
      </c>
      <c r="I319" s="208">
        <f t="shared" si="8"/>
        <v>0</v>
      </c>
      <c r="J319" s="208">
        <f t="shared" si="8"/>
        <v>0</v>
      </c>
      <c r="K319" s="208">
        <f t="shared" si="8"/>
        <v>0</v>
      </c>
      <c r="L319" s="208">
        <f t="shared" si="8"/>
        <v>0</v>
      </c>
      <c r="M319" s="208">
        <f t="shared" si="8"/>
        <v>0</v>
      </c>
      <c r="N319" s="208">
        <f t="shared" si="8"/>
        <v>0</v>
      </c>
      <c r="O319" s="208">
        <f t="shared" si="8"/>
        <v>0</v>
      </c>
      <c r="P319" s="211">
        <f t="shared" si="8"/>
        <v>0</v>
      </c>
    </row>
    <row r="320" spans="2:16" ht="38.25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>
      <c r="B321" s="144" t="str">
        <f t="shared" si="8"/>
        <v>בניכוי/תוספת חיוב ארנונה בגין אזורי תעשייה משותפים</v>
      </c>
      <c r="C321" s="207">
        <f t="shared" si="8"/>
        <v>0</v>
      </c>
      <c r="D321" s="133">
        <f t="shared" si="8"/>
        <v>0</v>
      </c>
      <c r="E321" s="207">
        <f t="shared" si="8"/>
        <v>0</v>
      </c>
      <c r="F321" s="133">
        <f t="shared" si="8"/>
        <v>0</v>
      </c>
      <c r="G321" s="207">
        <f t="shared" si="8"/>
        <v>0</v>
      </c>
      <c r="H321" s="133">
        <f t="shared" si="8"/>
        <v>0</v>
      </c>
      <c r="I321" s="209">
        <f t="shared" si="8"/>
        <v>0</v>
      </c>
      <c r="J321" s="133">
        <f t="shared" si="8"/>
        <v>0</v>
      </c>
      <c r="K321" s="207">
        <f t="shared" si="8"/>
        <v>0</v>
      </c>
      <c r="L321" s="133">
        <f t="shared" si="8"/>
        <v>0</v>
      </c>
      <c r="M321" s="210">
        <f t="shared" si="8"/>
        <v>0</v>
      </c>
      <c r="N321" s="133">
        <f t="shared" si="8"/>
        <v>0</v>
      </c>
      <c r="O321" s="207">
        <f t="shared" si="8"/>
        <v>0</v>
      </c>
      <c r="P321" s="211">
        <f t="shared" si="8"/>
        <v>0</v>
      </c>
    </row>
    <row r="322" spans="2:16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1">
        <f t="shared" si="8"/>
        <v>0</v>
      </c>
    </row>
    <row r="326" spans="2:16">
      <c r="B326" s="146" t="str">
        <f>CONCATENATE("ביקורת:   ",BikoretCode)</f>
        <v xml:space="preserve">ביקורת:   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>
      <c r="A1" s="105"/>
      <c r="B1" s="105"/>
      <c r="C1" s="105"/>
      <c r="D1" s="639" t="str">
        <f>GufMevukar</f>
        <v>עיריית בת-ים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105"/>
    </row>
    <row r="2" spans="1:18" ht="19.5" thickTop="1" thickBot="1">
      <c r="A2" s="105"/>
      <c r="B2" s="105"/>
      <c r="C2" s="105"/>
      <c r="D2" s="642" t="s">
        <v>699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105"/>
    </row>
    <row r="3" spans="1:18" ht="19.5" thickTop="1" thickBot="1">
      <c r="A3" s="105"/>
      <c r="B3" s="105"/>
      <c r="C3" s="105"/>
      <c r="D3" s="639" t="str">
        <f>ReportPeriod</f>
        <v>לתקופה: רבעון 1, שנת 2021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1"/>
      <c r="R3" s="105"/>
    </row>
    <row r="4" spans="1:1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>
      <c r="A5" s="110"/>
      <c r="B5" s="110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110"/>
      <c r="R5" s="111"/>
    </row>
    <row r="6" spans="1:18" ht="12.75" customHeight="1">
      <c r="A6" s="110"/>
      <c r="B6" s="112"/>
      <c r="C6" s="112"/>
      <c r="D6" s="647" t="str">
        <f>CONCATENATE("תקציב ",Shana)</f>
        <v>תקציב 2021</v>
      </c>
      <c r="E6" s="648"/>
      <c r="F6" s="648"/>
      <c r="G6" s="112"/>
      <c r="H6" s="112"/>
      <c r="I6" s="112"/>
      <c r="J6" s="647" t="str">
        <f>CONCATENATE("ביצוע בפועל"," ",Shana)</f>
        <v>ביצוע בפועל 2021</v>
      </c>
      <c r="K6" s="648"/>
      <c r="L6" s="648"/>
      <c r="M6" s="112"/>
      <c r="N6" s="648" t="s">
        <v>700</v>
      </c>
      <c r="O6" s="648"/>
      <c r="P6" s="648"/>
      <c r="Q6" s="112"/>
      <c r="R6" s="111"/>
    </row>
    <row r="7" spans="1:18" ht="38.25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>
      <c r="A8" s="110"/>
      <c r="B8" s="114"/>
      <c r="C8" s="115"/>
      <c r="D8" s="115"/>
      <c r="E8" s="115"/>
      <c r="F8" s="115"/>
      <c r="G8" s="189"/>
      <c r="H8" s="189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>
      <c r="A9" s="110"/>
      <c r="B9" s="114">
        <v>6</v>
      </c>
      <c r="C9" s="190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>
      <c r="A10" s="110"/>
      <c r="B10" s="114">
        <v>61</v>
      </c>
      <c r="C10" s="115" t="s">
        <v>707</v>
      </c>
      <c r="D10" s="118">
        <v>4</v>
      </c>
      <c r="E10" s="115"/>
      <c r="F10" s="118">
        <v>3370</v>
      </c>
      <c r="G10" s="115"/>
      <c r="H10" s="119">
        <f>(F10*'הגדרות כלליות'!$D$20/4)</f>
        <v>842.5</v>
      </c>
      <c r="I10" s="115"/>
      <c r="J10" s="118">
        <v>4</v>
      </c>
      <c r="K10" s="115"/>
      <c r="L10" s="118">
        <v>853</v>
      </c>
      <c r="M10" s="115"/>
      <c r="N10" s="119">
        <f>D10-J10</f>
        <v>0</v>
      </c>
      <c r="O10" s="115"/>
      <c r="P10" s="119">
        <f>H10-L10</f>
        <v>-10.5</v>
      </c>
      <c r="Q10" s="116"/>
      <c r="R10" s="111"/>
    </row>
    <row r="11" spans="1:18">
      <c r="A11" s="110"/>
      <c r="B11" s="114">
        <v>61</v>
      </c>
      <c r="C11" s="115" t="s">
        <v>708</v>
      </c>
      <c r="D11" s="118">
        <v>52</v>
      </c>
      <c r="E11" s="115"/>
      <c r="F11" s="118">
        <v>12797</v>
      </c>
      <c r="G11" s="115"/>
      <c r="H11" s="119">
        <f>(F11*'הגדרות כלליות'!$D$20/4)</f>
        <v>3199.25</v>
      </c>
      <c r="I11" s="115"/>
      <c r="J11" s="118">
        <v>50.7</v>
      </c>
      <c r="K11" s="115"/>
      <c r="L11" s="118">
        <v>2947</v>
      </c>
      <c r="M11" s="115"/>
      <c r="N11" s="119">
        <f>D11-J11</f>
        <v>1.2999999999999972</v>
      </c>
      <c r="O11" s="115"/>
      <c r="P11" s="119">
        <f>H11-L11</f>
        <v>252.25</v>
      </c>
      <c r="Q11" s="116"/>
      <c r="R11" s="111"/>
    </row>
    <row r="12" spans="1:18">
      <c r="A12" s="110"/>
      <c r="B12" s="114">
        <v>62</v>
      </c>
      <c r="C12" s="115" t="s">
        <v>709</v>
      </c>
      <c r="D12" s="118">
        <v>95</v>
      </c>
      <c r="E12" s="115"/>
      <c r="F12" s="118">
        <v>18469</v>
      </c>
      <c r="G12" s="115"/>
      <c r="H12" s="119">
        <f>(F12*'הגדרות כלליות'!$D$20/4)</f>
        <v>4617.25</v>
      </c>
      <c r="I12" s="115"/>
      <c r="J12" s="118">
        <v>86.8</v>
      </c>
      <c r="K12" s="115"/>
      <c r="L12" s="589">
        <v>3966</v>
      </c>
      <c r="M12" s="115"/>
      <c r="N12" s="119">
        <f>D12-J12</f>
        <v>8.2000000000000028</v>
      </c>
      <c r="O12" s="115"/>
      <c r="P12" s="119">
        <f>H12-L12</f>
        <v>651.25</v>
      </c>
      <c r="Q12" s="116"/>
      <c r="R12" s="111"/>
    </row>
    <row r="13" spans="1:18">
      <c r="A13" s="110"/>
      <c r="B13" s="114"/>
      <c r="C13" s="191" t="s">
        <v>710</v>
      </c>
      <c r="D13" s="192">
        <f>SUM(D10:D12)</f>
        <v>151</v>
      </c>
      <c r="E13" s="115"/>
      <c r="F13" s="192">
        <f>SUM(F10:F12)</f>
        <v>34636</v>
      </c>
      <c r="G13" s="115"/>
      <c r="H13" s="192">
        <f>SUM(H10:H12)</f>
        <v>8659</v>
      </c>
      <c r="I13" s="115"/>
      <c r="J13" s="192">
        <f>SUM(J10:J12)</f>
        <v>141.5</v>
      </c>
      <c r="K13" s="115"/>
      <c r="L13" s="192">
        <f>SUM(L10:L12)</f>
        <v>7766</v>
      </c>
      <c r="M13" s="115"/>
      <c r="N13" s="192">
        <f>SUM(N10:N12)</f>
        <v>9.5</v>
      </c>
      <c r="O13" s="115"/>
      <c r="P13" s="192">
        <f>SUM(P10:P12)</f>
        <v>893</v>
      </c>
      <c r="Q13" s="116"/>
      <c r="R13" s="111"/>
    </row>
    <row r="14" spans="1:18">
      <c r="A14" s="110"/>
      <c r="B14" s="114">
        <v>7</v>
      </c>
      <c r="C14" s="190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>
      <c r="A15" s="110"/>
      <c r="B15" s="114">
        <v>71</v>
      </c>
      <c r="C15" s="115" t="s">
        <v>712</v>
      </c>
      <c r="D15" s="118">
        <v>101</v>
      </c>
      <c r="E15" s="115"/>
      <c r="F15" s="118">
        <v>20434</v>
      </c>
      <c r="G15" s="115"/>
      <c r="H15" s="119">
        <f>(F15*'הגדרות כלליות'!$D$20/4)</f>
        <v>5108.5</v>
      </c>
      <c r="I15" s="115"/>
      <c r="J15" s="118">
        <v>93.2</v>
      </c>
      <c r="K15" s="115"/>
      <c r="L15" s="118">
        <v>4010</v>
      </c>
      <c r="M15" s="115"/>
      <c r="N15" s="119">
        <f t="shared" ref="N15:N21" si="0">D15-J15</f>
        <v>7.7999999999999972</v>
      </c>
      <c r="O15" s="115"/>
      <c r="P15" s="119">
        <f t="shared" ref="P15:P21" si="1">H15-L15</f>
        <v>1098.5</v>
      </c>
      <c r="Q15" s="116"/>
      <c r="R15" s="111"/>
    </row>
    <row r="16" spans="1:18">
      <c r="A16" s="110"/>
      <c r="B16" s="114">
        <v>72</v>
      </c>
      <c r="C16" s="115" t="s">
        <v>713</v>
      </c>
      <c r="D16" s="118">
        <v>10</v>
      </c>
      <c r="E16" s="115"/>
      <c r="F16" s="118">
        <v>2188</v>
      </c>
      <c r="G16" s="115"/>
      <c r="H16" s="119">
        <f>(F16*'הגדרות כלליות'!$D$20/4)</f>
        <v>547</v>
      </c>
      <c r="I16" s="115"/>
      <c r="J16" s="118">
        <v>9.1</v>
      </c>
      <c r="K16" s="115"/>
      <c r="L16" s="118">
        <v>499</v>
      </c>
      <c r="M16" s="115"/>
      <c r="N16" s="119">
        <f t="shared" si="0"/>
        <v>0.90000000000000036</v>
      </c>
      <c r="O16" s="115"/>
      <c r="P16" s="119">
        <f t="shared" si="1"/>
        <v>48</v>
      </c>
      <c r="Q16" s="116"/>
      <c r="R16" s="111"/>
    </row>
    <row r="17" spans="1:18">
      <c r="A17" s="110"/>
      <c r="B17" s="114">
        <v>73</v>
      </c>
      <c r="C17" s="115" t="s">
        <v>714</v>
      </c>
      <c r="D17" s="118">
        <v>56</v>
      </c>
      <c r="E17" s="115"/>
      <c r="F17" s="118">
        <v>13615</v>
      </c>
      <c r="G17" s="115"/>
      <c r="H17" s="119">
        <f>(F17*'הגדרות כלליות'!$D$20/4)</f>
        <v>3403.75</v>
      </c>
      <c r="I17" s="115"/>
      <c r="J17" s="118">
        <v>52.3</v>
      </c>
      <c r="K17" s="115"/>
      <c r="L17" s="118">
        <v>2984</v>
      </c>
      <c r="M17" s="115"/>
      <c r="N17" s="119">
        <f t="shared" si="0"/>
        <v>3.7000000000000028</v>
      </c>
      <c r="O17" s="115"/>
      <c r="P17" s="119">
        <f t="shared" si="1"/>
        <v>419.75</v>
      </c>
      <c r="Q17" s="116"/>
      <c r="R17" s="111"/>
    </row>
    <row r="18" spans="1:18">
      <c r="A18" s="110"/>
      <c r="B18" s="114">
        <v>74</v>
      </c>
      <c r="C18" s="193" t="s">
        <v>715</v>
      </c>
      <c r="D18" s="118">
        <v>63</v>
      </c>
      <c r="E18" s="115"/>
      <c r="F18" s="118">
        <v>18556</v>
      </c>
      <c r="G18" s="115"/>
      <c r="H18" s="119">
        <f>(F18*'הגדרות כלליות'!$D$20/4)</f>
        <v>4639</v>
      </c>
      <c r="I18" s="115"/>
      <c r="J18" s="118">
        <v>49.5</v>
      </c>
      <c r="K18" s="115"/>
      <c r="L18" s="118">
        <v>3471</v>
      </c>
      <c r="M18" s="115"/>
      <c r="N18" s="119">
        <f t="shared" si="0"/>
        <v>13.5</v>
      </c>
      <c r="O18" s="115"/>
      <c r="P18" s="119">
        <f t="shared" si="1"/>
        <v>1168</v>
      </c>
      <c r="Q18" s="116"/>
      <c r="R18" s="111"/>
    </row>
    <row r="19" spans="1:18">
      <c r="A19" s="110"/>
      <c r="B19" s="114">
        <v>76</v>
      </c>
      <c r="C19" s="193" t="s">
        <v>716</v>
      </c>
      <c r="D19" s="118">
        <v>49</v>
      </c>
      <c r="E19" s="115"/>
      <c r="F19" s="118">
        <v>9246</v>
      </c>
      <c r="G19" s="115"/>
      <c r="H19" s="119">
        <f>(F19*'הגדרות כלליות'!$D$20/4)</f>
        <v>2311.5</v>
      </c>
      <c r="I19" s="115"/>
      <c r="J19" s="118">
        <v>43.02</v>
      </c>
      <c r="K19" s="115"/>
      <c r="L19" s="118">
        <v>2042</v>
      </c>
      <c r="M19" s="115"/>
      <c r="N19" s="119">
        <f t="shared" si="0"/>
        <v>5.9799999999999969</v>
      </c>
      <c r="O19" s="115"/>
      <c r="P19" s="119">
        <f t="shared" si="1"/>
        <v>269.5</v>
      </c>
      <c r="Q19" s="116"/>
      <c r="R19" s="111"/>
    </row>
    <row r="20" spans="1:18">
      <c r="A20" s="110"/>
      <c r="B20" s="114">
        <v>78</v>
      </c>
      <c r="C20" s="115" t="s">
        <v>717</v>
      </c>
      <c r="D20" s="118">
        <v>73</v>
      </c>
      <c r="E20" s="115"/>
      <c r="F20" s="118">
        <v>13378</v>
      </c>
      <c r="G20" s="115"/>
      <c r="H20" s="119">
        <f>(F20*'הגדרות כלליות'!$D$20/4)</f>
        <v>3344.5</v>
      </c>
      <c r="I20" s="115"/>
      <c r="J20" s="118">
        <v>68.599999999999994</v>
      </c>
      <c r="K20" s="115"/>
      <c r="L20" s="118">
        <v>3192</v>
      </c>
      <c r="M20" s="115"/>
      <c r="N20" s="119">
        <f t="shared" si="0"/>
        <v>4.4000000000000057</v>
      </c>
      <c r="O20" s="115"/>
      <c r="P20" s="119">
        <f t="shared" si="1"/>
        <v>152.5</v>
      </c>
      <c r="Q20" s="116"/>
      <c r="R20" s="111"/>
    </row>
    <row r="21" spans="1:18">
      <c r="A21" s="110"/>
      <c r="B21" s="114">
        <v>79</v>
      </c>
      <c r="C21" s="115" t="s">
        <v>718</v>
      </c>
      <c r="D21" s="118">
        <v>0</v>
      </c>
      <c r="E21" s="115"/>
      <c r="F21" s="118">
        <v>0</v>
      </c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>
      <c r="A22" s="110"/>
      <c r="B22" s="114"/>
      <c r="C22" s="191" t="s">
        <v>719</v>
      </c>
      <c r="D22" s="192">
        <f>SUM(D15:D21)</f>
        <v>352</v>
      </c>
      <c r="E22" s="194"/>
      <c r="F22" s="192">
        <f>SUM(F15:F21)</f>
        <v>77417</v>
      </c>
      <c r="G22" s="115"/>
      <c r="H22" s="192">
        <f>(F22*'הגדרות כלליות'!$D$20/4)</f>
        <v>19354.25</v>
      </c>
      <c r="I22" s="194"/>
      <c r="J22" s="192">
        <f>SUM(J15:J21)</f>
        <v>315.72000000000003</v>
      </c>
      <c r="K22" s="194"/>
      <c r="L22" s="192">
        <f>SUM(L15:L21)</f>
        <v>16198</v>
      </c>
      <c r="M22" s="194"/>
      <c r="N22" s="192">
        <f>SUM(N15:N21)</f>
        <v>36.28</v>
      </c>
      <c r="O22" s="194"/>
      <c r="P22" s="192">
        <f>SUM(P15:P21)</f>
        <v>3156.25</v>
      </c>
      <c r="Q22" s="116"/>
      <c r="R22" s="111"/>
    </row>
    <row r="23" spans="1:18">
      <c r="A23" s="110"/>
      <c r="B23" s="114">
        <v>8</v>
      </c>
      <c r="C23" s="190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>
      <c r="A24" s="110"/>
      <c r="B24" s="114">
        <v>81</v>
      </c>
      <c r="C24" s="115" t="s">
        <v>721</v>
      </c>
      <c r="D24" s="118">
        <v>1063</v>
      </c>
      <c r="E24" s="115"/>
      <c r="F24" s="118">
        <v>163339</v>
      </c>
      <c r="G24" s="115"/>
      <c r="H24" s="119">
        <f>(F24*'הגדרות כלליות'!$D$20/4)</f>
        <v>40834.75</v>
      </c>
      <c r="I24" s="115"/>
      <c r="J24" s="118">
        <v>1078.3</v>
      </c>
      <c r="K24" s="115"/>
      <c r="L24" s="118">
        <v>37412</v>
      </c>
      <c r="M24" s="115"/>
      <c r="N24" s="119">
        <f t="shared" ref="N24:N30" si="2">D24-J24</f>
        <v>-15.299999999999955</v>
      </c>
      <c r="O24" s="115"/>
      <c r="P24" s="119">
        <f t="shared" ref="P24:P30" si="3">H24-L24</f>
        <v>3422.75</v>
      </c>
      <c r="Q24" s="116"/>
      <c r="R24" s="111"/>
    </row>
    <row r="25" spans="1:18">
      <c r="A25" s="110"/>
      <c r="B25" s="114">
        <v>82</v>
      </c>
      <c r="C25" s="115" t="s">
        <v>722</v>
      </c>
      <c r="D25" s="118">
        <v>71</v>
      </c>
      <c r="E25" s="115"/>
      <c r="F25" s="118">
        <v>14402</v>
      </c>
      <c r="G25" s="115"/>
      <c r="H25" s="119">
        <f>(F25*'הגדרות כלליות'!$D$20/4)</f>
        <v>3600.5</v>
      </c>
      <c r="I25" s="115"/>
      <c r="J25" s="118">
        <v>63.7</v>
      </c>
      <c r="K25" s="115"/>
      <c r="L25" s="118">
        <v>2920</v>
      </c>
      <c r="M25" s="115"/>
      <c r="N25" s="119">
        <f t="shared" si="2"/>
        <v>7.2999999999999972</v>
      </c>
      <c r="O25" s="115"/>
      <c r="P25" s="119">
        <f t="shared" si="3"/>
        <v>680.5</v>
      </c>
      <c r="Q25" s="116"/>
      <c r="R25" s="111"/>
    </row>
    <row r="26" spans="1:18">
      <c r="A26" s="110"/>
      <c r="B26" s="114">
        <v>83</v>
      </c>
      <c r="C26" s="115" t="s">
        <v>723</v>
      </c>
      <c r="D26" s="589">
        <v>3</v>
      </c>
      <c r="E26" s="115"/>
      <c r="F26" s="118">
        <v>570</v>
      </c>
      <c r="G26" s="115"/>
      <c r="H26" s="119">
        <f>(F26*'הגדרות כלליות'!$D$20/4)</f>
        <v>142.5</v>
      </c>
      <c r="I26" s="115"/>
      <c r="J26" s="589">
        <v>3</v>
      </c>
      <c r="K26" s="115"/>
      <c r="L26" s="118">
        <v>132</v>
      </c>
      <c r="M26" s="115"/>
      <c r="N26" s="119">
        <f t="shared" si="2"/>
        <v>0</v>
      </c>
      <c r="O26" s="115"/>
      <c r="P26" s="119">
        <f t="shared" si="3"/>
        <v>10.5</v>
      </c>
      <c r="Q26" s="116"/>
      <c r="R26" s="111"/>
    </row>
    <row r="27" spans="1:18">
      <c r="A27" s="110"/>
      <c r="B27" s="114">
        <v>84</v>
      </c>
      <c r="C27" s="115" t="s">
        <v>724</v>
      </c>
      <c r="D27" s="118">
        <v>150</v>
      </c>
      <c r="E27" s="115"/>
      <c r="F27" s="118">
        <v>28469</v>
      </c>
      <c r="G27" s="115"/>
      <c r="H27" s="119">
        <f>(F27*'הגדרות כלליות'!$D$20/4)</f>
        <v>7117.25</v>
      </c>
      <c r="I27" s="115"/>
      <c r="J27" s="589">
        <v>138.19999999999999</v>
      </c>
      <c r="K27" s="115"/>
      <c r="L27" s="118">
        <v>6183</v>
      </c>
      <c r="M27" s="115"/>
      <c r="N27" s="119">
        <f t="shared" si="2"/>
        <v>11.800000000000011</v>
      </c>
      <c r="O27" s="115"/>
      <c r="P27" s="119">
        <f t="shared" si="3"/>
        <v>934.25</v>
      </c>
      <c r="Q27" s="116"/>
      <c r="R27" s="111"/>
    </row>
    <row r="28" spans="1:18">
      <c r="A28" s="110"/>
      <c r="B28" s="114">
        <v>85</v>
      </c>
      <c r="C28" s="115" t="s">
        <v>725</v>
      </c>
      <c r="D28" s="118"/>
      <c r="E28" s="115"/>
      <c r="F28" s="118"/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>
      <c r="A29" s="110"/>
      <c r="B29" s="114">
        <v>86</v>
      </c>
      <c r="C29" s="115" t="s">
        <v>726</v>
      </c>
      <c r="D29" s="118">
        <v>12</v>
      </c>
      <c r="E29" s="115"/>
      <c r="F29" s="118">
        <v>1946</v>
      </c>
      <c r="G29" s="115"/>
      <c r="H29" s="119">
        <f>(F29*'הגדרות כלליות'!$D$20/4)</f>
        <v>486.5</v>
      </c>
      <c r="I29" s="115"/>
      <c r="J29" s="118">
        <v>7.8</v>
      </c>
      <c r="K29" s="115"/>
      <c r="L29" s="118">
        <v>296</v>
      </c>
      <c r="M29" s="115"/>
      <c r="N29" s="119">
        <f t="shared" si="2"/>
        <v>4.2</v>
      </c>
      <c r="O29" s="115"/>
      <c r="P29" s="119">
        <f t="shared" si="3"/>
        <v>190.5</v>
      </c>
      <c r="Q29" s="116"/>
      <c r="R29" s="111"/>
    </row>
    <row r="30" spans="1:18">
      <c r="A30" s="110"/>
      <c r="B30" s="114">
        <v>87</v>
      </c>
      <c r="C30" s="115" t="s">
        <v>727</v>
      </c>
      <c r="D30" s="118">
        <v>4</v>
      </c>
      <c r="E30" s="115"/>
      <c r="F30" s="118">
        <v>642</v>
      </c>
      <c r="G30" s="115"/>
      <c r="H30" s="119">
        <f>(F30*'הגדרות כלליות'!$D$20/4)</f>
        <v>160.5</v>
      </c>
      <c r="I30" s="115"/>
      <c r="J30" s="118">
        <v>4.9000000000000004</v>
      </c>
      <c r="K30" s="115"/>
      <c r="L30" s="118">
        <v>200</v>
      </c>
      <c r="M30" s="115"/>
      <c r="N30" s="119">
        <f t="shared" si="2"/>
        <v>-0.90000000000000036</v>
      </c>
      <c r="O30" s="115"/>
      <c r="P30" s="119">
        <f t="shared" si="3"/>
        <v>-39.5</v>
      </c>
      <c r="Q30" s="116"/>
      <c r="R30" s="111"/>
    </row>
    <row r="31" spans="1:18">
      <c r="A31" s="110"/>
      <c r="B31" s="114"/>
      <c r="C31" s="115" t="s">
        <v>728</v>
      </c>
      <c r="D31" s="192">
        <f>SUM(D24:D30)</f>
        <v>1303</v>
      </c>
      <c r="E31" s="194"/>
      <c r="F31" s="192">
        <f>SUM(F24:F30)</f>
        <v>209368</v>
      </c>
      <c r="G31" s="115"/>
      <c r="H31" s="192">
        <f>(F31*'הגדרות כלליות'!$D$20/4)</f>
        <v>52342</v>
      </c>
      <c r="I31" s="194"/>
      <c r="J31" s="192">
        <f>SUM(J24:J30)</f>
        <v>1295.9000000000001</v>
      </c>
      <c r="K31" s="194"/>
      <c r="L31" s="192">
        <f>SUM(L24:L30)</f>
        <v>47143</v>
      </c>
      <c r="M31" s="194"/>
      <c r="N31" s="192">
        <f>SUM(N24:N30)</f>
        <v>7.1000000000000529</v>
      </c>
      <c r="O31" s="115"/>
      <c r="P31" s="192">
        <f>SUM(P24:P30)</f>
        <v>5199</v>
      </c>
      <c r="Q31" s="116"/>
      <c r="R31" s="111"/>
    </row>
    <row r="32" spans="1:18">
      <c r="A32" s="110"/>
      <c r="B32" s="114">
        <v>9</v>
      </c>
      <c r="C32" s="190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>
      <c r="A33" s="110"/>
      <c r="B33" s="114">
        <v>91</v>
      </c>
      <c r="C33" s="115" t="s">
        <v>730</v>
      </c>
      <c r="D33" s="118">
        <v>5</v>
      </c>
      <c r="E33" s="115"/>
      <c r="F33" s="118">
        <v>1440</v>
      </c>
      <c r="G33" s="115"/>
      <c r="H33" s="119">
        <f>(F33*'הגדרות כלליות'!$D$20/4)</f>
        <v>360</v>
      </c>
      <c r="I33" s="115"/>
      <c r="J33" s="118">
        <v>5</v>
      </c>
      <c r="K33" s="115"/>
      <c r="L33" s="118">
        <v>344</v>
      </c>
      <c r="M33" s="115"/>
      <c r="N33" s="119">
        <f>D33-J33</f>
        <v>0</v>
      </c>
      <c r="O33" s="115"/>
      <c r="P33" s="119">
        <f>H33-L33</f>
        <v>16</v>
      </c>
      <c r="Q33" s="116"/>
      <c r="R33" s="111"/>
    </row>
    <row r="34" spans="1:18">
      <c r="A34" s="110"/>
      <c r="B34" s="114">
        <v>92</v>
      </c>
      <c r="C34" s="115" t="s">
        <v>731</v>
      </c>
      <c r="D34" s="118"/>
      <c r="E34" s="115"/>
      <c r="F34" s="118"/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>
      <c r="A35" s="110"/>
      <c r="B35" s="114">
        <v>93</v>
      </c>
      <c r="C35" s="191" t="s">
        <v>591</v>
      </c>
      <c r="D35" s="118">
        <v>20</v>
      </c>
      <c r="E35" s="115"/>
      <c r="F35" s="118">
        <v>4088</v>
      </c>
      <c r="G35" s="115"/>
      <c r="H35" s="119">
        <f>(F35*'הגדרות כלליות'!$D$20/4)</f>
        <v>1022</v>
      </c>
      <c r="I35" s="115"/>
      <c r="J35" s="118">
        <v>18.600000000000001</v>
      </c>
      <c r="K35" s="115"/>
      <c r="L35" s="118">
        <v>843</v>
      </c>
      <c r="M35" s="115"/>
      <c r="N35" s="119">
        <f>D35-J35</f>
        <v>1.3999999999999986</v>
      </c>
      <c r="O35" s="115"/>
      <c r="P35" s="119">
        <f>H35-L35</f>
        <v>179</v>
      </c>
      <c r="Q35" s="116"/>
      <c r="R35" s="111"/>
    </row>
    <row r="36" spans="1:18">
      <c r="A36" s="110"/>
      <c r="B36" s="114">
        <v>94</v>
      </c>
      <c r="C36" s="115" t="s">
        <v>732</v>
      </c>
      <c r="D36" s="118"/>
      <c r="E36" s="115"/>
      <c r="F36" s="118"/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>
      <c r="A37" s="110"/>
      <c r="B37" s="114">
        <v>97</v>
      </c>
      <c r="C37" s="115" t="s">
        <v>733</v>
      </c>
      <c r="D37" s="118">
        <v>3</v>
      </c>
      <c r="E37" s="115"/>
      <c r="F37" s="118">
        <v>722</v>
      </c>
      <c r="G37" s="115"/>
      <c r="H37" s="119">
        <f>(F37*'הגדרות כלליות'!$D$20/4)</f>
        <v>180.5</v>
      </c>
      <c r="I37" s="115"/>
      <c r="J37" s="118">
        <v>3</v>
      </c>
      <c r="K37" s="115"/>
      <c r="L37" s="118">
        <v>160</v>
      </c>
      <c r="M37" s="115"/>
      <c r="N37" s="119">
        <f>D37-J37</f>
        <v>0</v>
      </c>
      <c r="O37" s="115"/>
      <c r="P37" s="119">
        <f>H37-L37</f>
        <v>20.5</v>
      </c>
      <c r="Q37" s="116"/>
      <c r="R37" s="111"/>
    </row>
    <row r="38" spans="1:18">
      <c r="A38" s="110"/>
      <c r="B38" s="114">
        <v>98</v>
      </c>
      <c r="C38" s="191" t="s">
        <v>824</v>
      </c>
      <c r="D38" s="118">
        <v>26</v>
      </c>
      <c r="E38" s="115"/>
      <c r="F38" s="118">
        <v>4923</v>
      </c>
      <c r="G38" s="115"/>
      <c r="H38" s="119"/>
      <c r="I38" s="115"/>
      <c r="J38" s="118">
        <v>26.5</v>
      </c>
      <c r="K38" s="115"/>
      <c r="L38" s="118">
        <v>1156</v>
      </c>
      <c r="M38" s="115"/>
      <c r="N38" s="119"/>
      <c r="O38" s="115"/>
      <c r="P38" s="119"/>
      <c r="Q38" s="116"/>
      <c r="R38" s="111"/>
    </row>
    <row r="39" spans="1:18">
      <c r="A39" s="110"/>
      <c r="B39" s="114"/>
      <c r="C39" s="115" t="s">
        <v>734</v>
      </c>
      <c r="D39" s="192">
        <f>SUM(D33:D38)</f>
        <v>54</v>
      </c>
      <c r="E39" s="194"/>
      <c r="F39" s="192">
        <f>SUM(F33:F38)</f>
        <v>11173</v>
      </c>
      <c r="G39" s="115"/>
      <c r="H39" s="192">
        <f>(F39*'הגדרות כלליות'!$D$20/4)</f>
        <v>2793.25</v>
      </c>
      <c r="I39" s="194"/>
      <c r="J39" s="192">
        <f>SUM(J33:J38)</f>
        <v>53.1</v>
      </c>
      <c r="K39" s="194"/>
      <c r="L39" s="192">
        <f>SUM(L33:L38)</f>
        <v>2503</v>
      </c>
      <c r="M39" s="194"/>
      <c r="N39" s="192">
        <f>SUM(N33:N38)</f>
        <v>1.3999999999999986</v>
      </c>
      <c r="O39" s="115"/>
      <c r="P39" s="192">
        <f>SUM(P33:P38)</f>
        <v>215.5</v>
      </c>
      <c r="Q39" s="116"/>
      <c r="R39" s="111"/>
    </row>
    <row r="40" spans="1:18" ht="6.75" customHeight="1">
      <c r="A40" s="110"/>
      <c r="B40" s="114"/>
      <c r="C40" s="190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>
      <c r="A41" s="110"/>
      <c r="B41" s="114"/>
      <c r="C41" s="191" t="s">
        <v>736</v>
      </c>
      <c r="D41" s="118">
        <v>643</v>
      </c>
      <c r="E41" s="115"/>
      <c r="F41" s="118">
        <v>103174</v>
      </c>
      <c r="G41" s="115"/>
      <c r="H41" s="119">
        <f>(F41*'הגדרות כלליות'!$D$20/4)</f>
        <v>25793.5</v>
      </c>
      <c r="I41" s="115"/>
      <c r="J41" s="118">
        <v>650.6</v>
      </c>
      <c r="K41" s="115"/>
      <c r="L41" s="118">
        <v>24633</v>
      </c>
      <c r="M41" s="115"/>
      <c r="N41" s="119">
        <f>D41-J41</f>
        <v>-7.6000000000000227</v>
      </c>
      <c r="O41" s="115"/>
      <c r="P41" s="119">
        <f>H41-L41</f>
        <v>1160.5</v>
      </c>
      <c r="Q41" s="116"/>
      <c r="R41" s="111"/>
    </row>
    <row r="42" spans="1:18" ht="6" customHeight="1">
      <c r="A42" s="110"/>
      <c r="B42" s="114"/>
      <c r="C42" s="190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>
      <c r="A43" s="110"/>
      <c r="B43" s="114"/>
      <c r="C43" s="195" t="s">
        <v>735</v>
      </c>
      <c r="D43" s="196">
        <f>D13+D22+D31+D39+D41</f>
        <v>2503</v>
      </c>
      <c r="E43" s="194"/>
      <c r="F43" s="196">
        <f>F13+F22+F31+F39+F41</f>
        <v>435768</v>
      </c>
      <c r="G43" s="115"/>
      <c r="H43" s="196">
        <f>(F43*'הגדרות כלליות'!$D$20/4)</f>
        <v>108942</v>
      </c>
      <c r="I43" s="115"/>
      <c r="J43" s="196">
        <f>J13+J22+J31+J39+J41</f>
        <v>2456.8200000000002</v>
      </c>
      <c r="K43" s="115"/>
      <c r="L43" s="196">
        <f>L13+L22+L31+L39+L41</f>
        <v>98243</v>
      </c>
      <c r="M43" s="115"/>
      <c r="N43" s="196">
        <f>D43-J43</f>
        <v>46.179999999999836</v>
      </c>
      <c r="O43" s="115"/>
      <c r="P43" s="196">
        <f>H43-L43</f>
        <v>10699</v>
      </c>
      <c r="Q43" s="116"/>
      <c r="R43" s="111"/>
    </row>
    <row r="44" spans="1:18" ht="27" customHeight="1" thickTop="1">
      <c r="A44" s="110"/>
      <c r="B44" s="114"/>
      <c r="C44" s="190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>
      <c r="A45" s="110"/>
      <c r="B45" s="114"/>
      <c r="C45" s="496" t="s">
        <v>181</v>
      </c>
      <c r="D45" s="649" t="str">
        <f>CONCATENATE("תקציב ",Shana)</f>
        <v>תקציב 2021</v>
      </c>
      <c r="E45" s="649"/>
      <c r="F45" s="649"/>
      <c r="G45" s="649"/>
      <c r="H45" s="649"/>
      <c r="I45" s="495"/>
      <c r="J45" s="649" t="str">
        <f>CONCATENATE(" ביצוע בפועל ",Shana)</f>
        <v xml:space="preserve"> ביצוע בפועל 2021</v>
      </c>
      <c r="K45" s="649"/>
      <c r="L45" s="649"/>
      <c r="M45" s="649"/>
      <c r="N45" s="649"/>
      <c r="O45" s="495"/>
      <c r="P45" s="505" t="s">
        <v>182</v>
      </c>
      <c r="Q45" s="116"/>
      <c r="R45" s="111"/>
    </row>
    <row r="46" spans="1:18" ht="25.5">
      <c r="A46" s="110"/>
      <c r="B46" s="114"/>
      <c r="C46" s="497"/>
      <c r="D46" s="515" t="s">
        <v>185</v>
      </c>
      <c r="E46" s="516"/>
      <c r="F46" s="515" t="s">
        <v>186</v>
      </c>
      <c r="G46" s="516"/>
      <c r="H46" s="515" t="s">
        <v>187</v>
      </c>
      <c r="I46" s="516"/>
      <c r="J46" s="515" t="s">
        <v>185</v>
      </c>
      <c r="K46" s="516"/>
      <c r="L46" s="515" t="s">
        <v>186</v>
      </c>
      <c r="M46" s="516"/>
      <c r="N46" s="515" t="s">
        <v>187</v>
      </c>
      <c r="O46" s="490"/>
      <c r="P46" s="498"/>
      <c r="Q46" s="116"/>
      <c r="R46" s="111"/>
    </row>
    <row r="47" spans="1:18" ht="6" customHeight="1">
      <c r="A47" s="110"/>
      <c r="B47" s="114"/>
      <c r="C47" s="497"/>
      <c r="D47" s="491"/>
      <c r="E47" s="490"/>
      <c r="F47" s="491"/>
      <c r="G47" s="490"/>
      <c r="H47" s="491"/>
      <c r="I47" s="490"/>
      <c r="J47" s="490"/>
      <c r="K47" s="490"/>
      <c r="L47" s="490"/>
      <c r="M47" s="490"/>
      <c r="N47" s="490"/>
      <c r="O47" s="490"/>
      <c r="P47" s="498"/>
      <c r="Q47" s="116"/>
      <c r="R47" s="111"/>
    </row>
    <row r="48" spans="1:18">
      <c r="A48" s="110"/>
      <c r="B48" s="114"/>
      <c r="C48" s="499" t="s">
        <v>183</v>
      </c>
      <c r="D48" s="492"/>
      <c r="E48" s="490"/>
      <c r="F48" s="492">
        <v>3241</v>
      </c>
      <c r="G48" s="490"/>
      <c r="H48" s="492"/>
      <c r="I48" s="490"/>
      <c r="J48" s="492"/>
      <c r="K48" s="490"/>
      <c r="L48" s="492">
        <v>515</v>
      </c>
      <c r="M48" s="490"/>
      <c r="N48" s="492"/>
      <c r="O48" s="490"/>
      <c r="P48" s="500">
        <f>F48-L48</f>
        <v>2726</v>
      </c>
      <c r="Q48" s="116"/>
      <c r="R48" s="111"/>
    </row>
    <row r="49" spans="1:18">
      <c r="A49" s="110"/>
      <c r="B49" s="114"/>
      <c r="C49" s="499" t="s">
        <v>184</v>
      </c>
      <c r="D49" s="492"/>
      <c r="E49" s="490"/>
      <c r="F49" s="492">
        <v>40163</v>
      </c>
      <c r="G49" s="490"/>
      <c r="H49" s="507"/>
      <c r="I49" s="490"/>
      <c r="J49" s="492"/>
      <c r="K49" s="490"/>
      <c r="L49" s="492">
        <v>8787</v>
      </c>
      <c r="M49" s="490"/>
      <c r="N49" s="507"/>
      <c r="O49" s="490"/>
      <c r="P49" s="500">
        <f>F49-L49</f>
        <v>31376</v>
      </c>
      <c r="Q49" s="116"/>
      <c r="R49" s="111"/>
    </row>
    <row r="50" spans="1:18" ht="3.75" customHeight="1">
      <c r="A50" s="110"/>
      <c r="B50" s="114"/>
      <c r="C50" s="501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8"/>
      <c r="Q50" s="116"/>
      <c r="R50" s="111"/>
    </row>
    <row r="51" spans="1:18" ht="13.5" thickBot="1">
      <c r="A51" s="110"/>
      <c r="B51" s="114"/>
      <c r="C51" s="502" t="s">
        <v>767</v>
      </c>
      <c r="D51" s="506">
        <f>SUM(D48:D49)</f>
        <v>0</v>
      </c>
      <c r="E51" s="494"/>
      <c r="F51" s="493">
        <f>SUM(F48:F49)</f>
        <v>43404</v>
      </c>
      <c r="G51" s="490"/>
      <c r="H51" s="493">
        <f>SUM(H48:H49)</f>
        <v>0</v>
      </c>
      <c r="I51" s="490"/>
      <c r="J51" s="493">
        <f>SUM(J48:J49)</f>
        <v>0</v>
      </c>
      <c r="K51" s="490"/>
      <c r="L51" s="493">
        <f>SUM(L48:L49)</f>
        <v>9302</v>
      </c>
      <c r="M51" s="490"/>
      <c r="N51" s="493">
        <f>SUM(N48:N49)</f>
        <v>0</v>
      </c>
      <c r="O51" s="490"/>
      <c r="P51" s="503">
        <f>SUM(P48:P49)</f>
        <v>34102</v>
      </c>
      <c r="Q51" s="116"/>
      <c r="R51" s="111"/>
    </row>
    <row r="52" spans="1:18" ht="3.75" customHeight="1" thickTop="1">
      <c r="A52" s="110"/>
      <c r="B52" s="114"/>
      <c r="C52" s="501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8"/>
      <c r="Q52" s="116"/>
      <c r="R52" s="111"/>
    </row>
    <row r="53" spans="1:18">
      <c r="A53" s="110"/>
      <c r="B53" s="114"/>
      <c r="C53" s="50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40"/>
      <c r="Q53" s="116"/>
      <c r="R53" s="111"/>
    </row>
    <row r="54" spans="1:18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9"/>
      <c r="R54" s="111"/>
    </row>
    <row r="55" spans="1:18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/>
    <row r="305" spans="2:17" ht="15.75" customHeight="1">
      <c r="B305" s="637" t="str">
        <f>D1</f>
        <v>עיריית בת-ים</v>
      </c>
      <c r="C305" s="637"/>
      <c r="D305" s="637"/>
      <c r="E305" s="637"/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129"/>
    </row>
    <row r="306" spans="2:17" ht="15.75" customHeight="1">
      <c r="B306" s="637" t="str">
        <f>D2</f>
        <v>שכר ומשרות לפי פרקי תקציב</v>
      </c>
      <c r="C306" s="637"/>
      <c r="D306" s="637"/>
      <c r="E306" s="637"/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129"/>
    </row>
    <row r="307" spans="2:17" ht="18">
      <c r="B307" s="637" t="str">
        <f>D3</f>
        <v>לתקופה: רבעון 1, שנת 2021</v>
      </c>
      <c r="C307" s="637"/>
      <c r="D307" s="637"/>
      <c r="E307" s="637"/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197"/>
    </row>
    <row r="308" spans="2:17" ht="3" customHeight="1"/>
    <row r="309" spans="2:17" ht="4.5" customHeight="1"/>
    <row r="310" spans="2:17" ht="4.5" customHeight="1"/>
    <row r="311" spans="2:17">
      <c r="B311" s="131">
        <f t="shared" ref="B311:F326" si="4">B6</f>
        <v>0</v>
      </c>
      <c r="C311" s="131">
        <f t="shared" si="4"/>
        <v>0</v>
      </c>
      <c r="D311" s="650" t="str">
        <f t="shared" si="4"/>
        <v>תקציב 2021</v>
      </c>
      <c r="E311" s="650">
        <f t="shared" si="4"/>
        <v>0</v>
      </c>
      <c r="F311" s="650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50" t="str">
        <f t="shared" si="5"/>
        <v>ביצוע בפועל 2021</v>
      </c>
      <c r="K311" s="650">
        <f t="shared" si="5"/>
        <v>0</v>
      </c>
      <c r="L311" s="650">
        <f t="shared" si="5"/>
        <v>0</v>
      </c>
      <c r="M311" s="131">
        <f t="shared" si="5"/>
        <v>0</v>
      </c>
      <c r="N311" s="650" t="str">
        <f t="shared" si="5"/>
        <v>הפרש</v>
      </c>
      <c r="O311" s="650">
        <f t="shared" si="5"/>
        <v>0</v>
      </c>
      <c r="P311" s="650">
        <f t="shared" si="5"/>
        <v>0</v>
      </c>
      <c r="Q311" s="131">
        <f t="shared" si="5"/>
        <v>0</v>
      </c>
    </row>
    <row r="312" spans="2:17" ht="39" customHeight="1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>
      <c r="B314" s="132">
        <f t="shared" si="4"/>
        <v>6</v>
      </c>
      <c r="C314" s="198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3370</v>
      </c>
      <c r="G315" s="136"/>
      <c r="H315" s="136">
        <f t="shared" si="5"/>
        <v>842.5</v>
      </c>
      <c r="I315" s="133">
        <f t="shared" si="5"/>
        <v>0</v>
      </c>
      <c r="J315" s="136">
        <f t="shared" si="5"/>
        <v>4</v>
      </c>
      <c r="K315" s="133">
        <f t="shared" si="5"/>
        <v>0</v>
      </c>
      <c r="L315" s="136">
        <f t="shared" si="5"/>
        <v>853</v>
      </c>
      <c r="M315" s="133">
        <f t="shared" si="5"/>
        <v>0</v>
      </c>
      <c r="N315" s="137">
        <f t="shared" si="5"/>
        <v>0</v>
      </c>
      <c r="O315" s="133">
        <f t="shared" si="5"/>
        <v>0</v>
      </c>
      <c r="P315" s="137">
        <f t="shared" si="5"/>
        <v>-10.5</v>
      </c>
      <c r="Q315" s="134">
        <f t="shared" si="5"/>
        <v>0</v>
      </c>
    </row>
    <row r="316" spans="2:17">
      <c r="B316" s="132">
        <f t="shared" si="4"/>
        <v>61</v>
      </c>
      <c r="C316" s="133" t="str">
        <f t="shared" si="4"/>
        <v>מנהל כללי</v>
      </c>
      <c r="D316" s="139">
        <f t="shared" si="4"/>
        <v>52</v>
      </c>
      <c r="E316" s="133">
        <f t="shared" si="4"/>
        <v>0</v>
      </c>
      <c r="F316" s="139">
        <f t="shared" si="4"/>
        <v>12797</v>
      </c>
      <c r="G316" s="136"/>
      <c r="H316" s="139">
        <f t="shared" si="5"/>
        <v>3199.25</v>
      </c>
      <c r="I316" s="133">
        <f t="shared" si="5"/>
        <v>0</v>
      </c>
      <c r="J316" s="139">
        <f t="shared" si="5"/>
        <v>50.7</v>
      </c>
      <c r="K316" s="133">
        <f t="shared" si="5"/>
        <v>0</v>
      </c>
      <c r="L316" s="139">
        <f t="shared" si="5"/>
        <v>2947</v>
      </c>
      <c r="M316" s="133">
        <f t="shared" si="5"/>
        <v>0</v>
      </c>
      <c r="N316" s="140">
        <f t="shared" si="5"/>
        <v>1.2999999999999972</v>
      </c>
      <c r="O316" s="133">
        <f t="shared" si="5"/>
        <v>0</v>
      </c>
      <c r="P316" s="140">
        <f t="shared" si="5"/>
        <v>252.25</v>
      </c>
      <c r="Q316" s="134">
        <f t="shared" si="5"/>
        <v>0</v>
      </c>
    </row>
    <row r="317" spans="2:17">
      <c r="B317" s="132">
        <f t="shared" si="4"/>
        <v>62</v>
      </c>
      <c r="C317" s="133" t="str">
        <f t="shared" si="4"/>
        <v>מנהל כספי</v>
      </c>
      <c r="D317" s="226">
        <f t="shared" si="4"/>
        <v>95</v>
      </c>
      <c r="E317" s="133">
        <f t="shared" si="4"/>
        <v>0</v>
      </c>
      <c r="F317" s="226">
        <f t="shared" si="4"/>
        <v>18469</v>
      </c>
      <c r="G317" s="136"/>
      <c r="H317" s="226">
        <f t="shared" si="5"/>
        <v>4617.25</v>
      </c>
      <c r="I317" s="133">
        <f t="shared" si="5"/>
        <v>0</v>
      </c>
      <c r="J317" s="226">
        <f t="shared" si="5"/>
        <v>86.8</v>
      </c>
      <c r="K317" s="133">
        <f t="shared" si="5"/>
        <v>0</v>
      </c>
      <c r="L317" s="226">
        <f t="shared" si="5"/>
        <v>3966</v>
      </c>
      <c r="M317" s="133">
        <f t="shared" si="5"/>
        <v>0</v>
      </c>
      <c r="N317" s="186">
        <f t="shared" si="5"/>
        <v>8.2000000000000028</v>
      </c>
      <c r="O317" s="133">
        <f t="shared" si="5"/>
        <v>0</v>
      </c>
      <c r="P317" s="186">
        <f t="shared" si="5"/>
        <v>651.25</v>
      </c>
      <c r="Q317" s="134">
        <f t="shared" si="5"/>
        <v>0</v>
      </c>
    </row>
    <row r="318" spans="2:17">
      <c r="B318" s="132">
        <f t="shared" si="4"/>
        <v>0</v>
      </c>
      <c r="C318" s="133" t="str">
        <f t="shared" si="4"/>
        <v>סה"כ הנהלה וכלליות</v>
      </c>
      <c r="D318" s="199">
        <f t="shared" si="4"/>
        <v>151</v>
      </c>
      <c r="E318" s="200">
        <f t="shared" si="4"/>
        <v>0</v>
      </c>
      <c r="F318" s="199">
        <f t="shared" si="4"/>
        <v>34636</v>
      </c>
      <c r="G318" s="201"/>
      <c r="H318" s="199">
        <f t="shared" si="5"/>
        <v>8659</v>
      </c>
      <c r="I318" s="200">
        <f t="shared" si="5"/>
        <v>0</v>
      </c>
      <c r="J318" s="199">
        <f t="shared" si="5"/>
        <v>141.5</v>
      </c>
      <c r="K318" s="200">
        <f t="shared" si="5"/>
        <v>0</v>
      </c>
      <c r="L318" s="199">
        <f t="shared" si="5"/>
        <v>7766</v>
      </c>
      <c r="M318" s="200">
        <f t="shared" si="5"/>
        <v>0</v>
      </c>
      <c r="N318" s="199">
        <f t="shared" si="5"/>
        <v>9.5</v>
      </c>
      <c r="O318" s="200">
        <f t="shared" si="5"/>
        <v>0</v>
      </c>
      <c r="P318" s="199">
        <f t="shared" si="5"/>
        <v>893</v>
      </c>
      <c r="Q318" s="134"/>
    </row>
    <row r="319" spans="2:17">
      <c r="B319" s="132">
        <f t="shared" si="4"/>
        <v>7</v>
      </c>
      <c r="C319" s="198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>
      <c r="B320" s="132">
        <f t="shared" si="4"/>
        <v>71</v>
      </c>
      <c r="C320" s="133" t="str">
        <f t="shared" si="4"/>
        <v>תברואה</v>
      </c>
      <c r="D320" s="136">
        <f t="shared" si="4"/>
        <v>101</v>
      </c>
      <c r="E320" s="133">
        <f t="shared" si="4"/>
        <v>0</v>
      </c>
      <c r="F320" s="136">
        <f t="shared" si="4"/>
        <v>20434</v>
      </c>
      <c r="G320" s="136"/>
      <c r="H320" s="136">
        <f t="shared" si="5"/>
        <v>5108.5</v>
      </c>
      <c r="I320" s="133">
        <f t="shared" si="5"/>
        <v>0</v>
      </c>
      <c r="J320" s="136">
        <f t="shared" si="5"/>
        <v>93.2</v>
      </c>
      <c r="K320" s="133">
        <f t="shared" si="5"/>
        <v>0</v>
      </c>
      <c r="L320" s="136">
        <f t="shared" si="5"/>
        <v>4010</v>
      </c>
      <c r="M320" s="133">
        <f t="shared" si="5"/>
        <v>0</v>
      </c>
      <c r="N320" s="137">
        <f t="shared" si="5"/>
        <v>7.7999999999999972</v>
      </c>
      <c r="O320" s="133">
        <f t="shared" si="5"/>
        <v>0</v>
      </c>
      <c r="P320" s="137">
        <f t="shared" si="5"/>
        <v>1098.5</v>
      </c>
      <c r="Q320" s="134">
        <f>Q15</f>
        <v>0</v>
      </c>
    </row>
    <row r="321" spans="2:17">
      <c r="B321" s="132">
        <f t="shared" si="4"/>
        <v>72</v>
      </c>
      <c r="C321" s="133" t="str">
        <f t="shared" si="4"/>
        <v>שמירה ובטחון</v>
      </c>
      <c r="D321" s="139">
        <f t="shared" si="4"/>
        <v>10</v>
      </c>
      <c r="E321" s="133">
        <f t="shared" si="4"/>
        <v>0</v>
      </c>
      <c r="F321" s="139">
        <f t="shared" si="4"/>
        <v>2188</v>
      </c>
      <c r="G321" s="136"/>
      <c r="H321" s="139">
        <f t="shared" si="5"/>
        <v>547</v>
      </c>
      <c r="I321" s="133">
        <f t="shared" si="5"/>
        <v>0</v>
      </c>
      <c r="J321" s="139">
        <f t="shared" si="5"/>
        <v>9.1</v>
      </c>
      <c r="K321" s="133">
        <f t="shared" si="5"/>
        <v>0</v>
      </c>
      <c r="L321" s="139">
        <f t="shared" si="5"/>
        <v>499</v>
      </c>
      <c r="M321" s="133">
        <f t="shared" si="5"/>
        <v>0</v>
      </c>
      <c r="N321" s="140">
        <f t="shared" si="5"/>
        <v>0.90000000000000036</v>
      </c>
      <c r="O321" s="133">
        <f t="shared" si="5"/>
        <v>0</v>
      </c>
      <c r="P321" s="140">
        <f t="shared" si="5"/>
        <v>48</v>
      </c>
      <c r="Q321" s="134">
        <f>Q16</f>
        <v>0</v>
      </c>
    </row>
    <row r="322" spans="2:17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56</v>
      </c>
      <c r="E322" s="133">
        <f t="shared" si="4"/>
        <v>0</v>
      </c>
      <c r="F322" s="139">
        <f t="shared" si="4"/>
        <v>13615</v>
      </c>
      <c r="G322" s="136"/>
      <c r="H322" s="139">
        <f t="shared" si="5"/>
        <v>3403.75</v>
      </c>
      <c r="I322" s="133">
        <f t="shared" si="5"/>
        <v>0</v>
      </c>
      <c r="J322" s="139">
        <f t="shared" si="5"/>
        <v>52.3</v>
      </c>
      <c r="K322" s="133">
        <f t="shared" si="5"/>
        <v>0</v>
      </c>
      <c r="L322" s="139">
        <f t="shared" si="5"/>
        <v>2984</v>
      </c>
      <c r="M322" s="133">
        <f t="shared" si="5"/>
        <v>0</v>
      </c>
      <c r="N322" s="140">
        <f t="shared" si="5"/>
        <v>3.7000000000000028</v>
      </c>
      <c r="O322" s="133">
        <f t="shared" si="5"/>
        <v>0</v>
      </c>
      <c r="P322" s="140">
        <f t="shared" si="5"/>
        <v>419.75</v>
      </c>
      <c r="Q322" s="134">
        <f>Q17</f>
        <v>0</v>
      </c>
    </row>
    <row r="323" spans="2:17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63</v>
      </c>
      <c r="E323" s="133">
        <f t="shared" si="4"/>
        <v>0</v>
      </c>
      <c r="F323" s="139">
        <f t="shared" si="4"/>
        <v>18556</v>
      </c>
      <c r="G323" s="136"/>
      <c r="H323" s="139">
        <f t="shared" si="5"/>
        <v>4639</v>
      </c>
      <c r="I323" s="133">
        <f t="shared" si="5"/>
        <v>0</v>
      </c>
      <c r="J323" s="139">
        <f t="shared" si="5"/>
        <v>49.5</v>
      </c>
      <c r="K323" s="133">
        <f t="shared" si="5"/>
        <v>0</v>
      </c>
      <c r="L323" s="139">
        <f t="shared" si="5"/>
        <v>3471</v>
      </c>
      <c r="M323" s="133">
        <f t="shared" si="5"/>
        <v>0</v>
      </c>
      <c r="N323" s="140">
        <f t="shared" si="5"/>
        <v>13.5</v>
      </c>
      <c r="O323" s="133">
        <f t="shared" si="5"/>
        <v>0</v>
      </c>
      <c r="P323" s="140">
        <f t="shared" si="5"/>
        <v>1168</v>
      </c>
      <c r="Q323" s="134">
        <f>Q18</f>
        <v>0</v>
      </c>
    </row>
    <row r="324" spans="2:17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49</v>
      </c>
      <c r="E324" s="133">
        <f t="shared" si="4"/>
        <v>0</v>
      </c>
      <c r="F324" s="139">
        <f t="shared" si="4"/>
        <v>9246</v>
      </c>
      <c r="G324" s="136"/>
      <c r="H324" s="139">
        <f t="shared" si="5"/>
        <v>2311.5</v>
      </c>
      <c r="I324" s="133">
        <f t="shared" si="5"/>
        <v>0</v>
      </c>
      <c r="J324" s="139">
        <f t="shared" si="5"/>
        <v>43.02</v>
      </c>
      <c r="K324" s="133">
        <f t="shared" si="5"/>
        <v>0</v>
      </c>
      <c r="L324" s="139">
        <f t="shared" si="5"/>
        <v>2042</v>
      </c>
      <c r="M324" s="133">
        <f t="shared" si="5"/>
        <v>0</v>
      </c>
      <c r="N324" s="140">
        <f t="shared" si="5"/>
        <v>5.9799999999999969</v>
      </c>
      <c r="O324" s="133">
        <f t="shared" si="5"/>
        <v>0</v>
      </c>
      <c r="P324" s="140">
        <f t="shared" si="5"/>
        <v>269.5</v>
      </c>
      <c r="Q324" s="134"/>
    </row>
    <row r="325" spans="2:17">
      <c r="B325" s="132">
        <f t="shared" si="4"/>
        <v>78</v>
      </c>
      <c r="C325" s="133" t="str">
        <f t="shared" si="4"/>
        <v>פיקוח עירוני</v>
      </c>
      <c r="D325" s="139">
        <f t="shared" si="4"/>
        <v>73</v>
      </c>
      <c r="E325" s="133">
        <f t="shared" si="4"/>
        <v>0</v>
      </c>
      <c r="F325" s="139">
        <f t="shared" si="4"/>
        <v>13378</v>
      </c>
      <c r="G325" s="136"/>
      <c r="H325" s="139">
        <f t="shared" si="5"/>
        <v>3344.5</v>
      </c>
      <c r="I325" s="133">
        <f t="shared" si="5"/>
        <v>0</v>
      </c>
      <c r="J325" s="139">
        <f t="shared" si="5"/>
        <v>68.599999999999994</v>
      </c>
      <c r="K325" s="133">
        <f t="shared" si="5"/>
        <v>0</v>
      </c>
      <c r="L325" s="139">
        <f t="shared" si="5"/>
        <v>3192</v>
      </c>
      <c r="M325" s="133">
        <f t="shared" si="5"/>
        <v>0</v>
      </c>
      <c r="N325" s="140">
        <f t="shared" si="5"/>
        <v>4.4000000000000057</v>
      </c>
      <c r="O325" s="133">
        <f t="shared" si="5"/>
        <v>0</v>
      </c>
      <c r="P325" s="140">
        <f t="shared" si="5"/>
        <v>152.5</v>
      </c>
      <c r="Q325" s="134">
        <f t="shared" si="5"/>
        <v>0</v>
      </c>
    </row>
    <row r="326" spans="2:17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>
      <c r="B327" s="132">
        <f t="shared" ref="B327:F343" si="6">B22</f>
        <v>0</v>
      </c>
      <c r="C327" s="133" t="str">
        <f t="shared" si="6"/>
        <v>סה"כ שרותים מקומיים</v>
      </c>
      <c r="D327" s="199">
        <f t="shared" si="6"/>
        <v>352</v>
      </c>
      <c r="E327" s="200">
        <f t="shared" si="6"/>
        <v>0</v>
      </c>
      <c r="F327" s="199">
        <f t="shared" si="6"/>
        <v>77417</v>
      </c>
      <c r="G327" s="201"/>
      <c r="H327" s="199">
        <f t="shared" ref="H327:Q343" si="7">H22</f>
        <v>19354.25</v>
      </c>
      <c r="I327" s="200">
        <f t="shared" si="7"/>
        <v>0</v>
      </c>
      <c r="J327" s="199">
        <f t="shared" si="7"/>
        <v>315.72000000000003</v>
      </c>
      <c r="K327" s="200">
        <f t="shared" si="7"/>
        <v>0</v>
      </c>
      <c r="L327" s="199">
        <f t="shared" si="7"/>
        <v>16198</v>
      </c>
      <c r="M327" s="200">
        <f t="shared" si="7"/>
        <v>0</v>
      </c>
      <c r="N327" s="199">
        <f t="shared" si="7"/>
        <v>36.28</v>
      </c>
      <c r="O327" s="200">
        <f t="shared" si="7"/>
        <v>0</v>
      </c>
      <c r="P327" s="199">
        <f t="shared" si="7"/>
        <v>3156.25</v>
      </c>
      <c r="Q327" s="134">
        <f t="shared" si="7"/>
        <v>0</v>
      </c>
    </row>
    <row r="328" spans="2:17">
      <c r="B328" s="132">
        <f t="shared" si="6"/>
        <v>8</v>
      </c>
      <c r="C328" s="198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>
      <c r="B329" s="132">
        <f t="shared" si="6"/>
        <v>81</v>
      </c>
      <c r="C329" s="133" t="str">
        <f t="shared" si="6"/>
        <v>חינוך</v>
      </c>
      <c r="D329" s="136">
        <f t="shared" si="6"/>
        <v>1063</v>
      </c>
      <c r="E329" s="133">
        <f t="shared" si="6"/>
        <v>0</v>
      </c>
      <c r="F329" s="136">
        <f t="shared" si="6"/>
        <v>163339</v>
      </c>
      <c r="G329" s="136"/>
      <c r="H329" s="136">
        <f t="shared" si="7"/>
        <v>40834.75</v>
      </c>
      <c r="I329" s="133">
        <f t="shared" si="7"/>
        <v>0</v>
      </c>
      <c r="J329" s="136">
        <f t="shared" si="7"/>
        <v>1078.3</v>
      </c>
      <c r="K329" s="133">
        <f t="shared" si="7"/>
        <v>0</v>
      </c>
      <c r="L329" s="136">
        <f t="shared" si="7"/>
        <v>37412</v>
      </c>
      <c r="M329" s="133">
        <f t="shared" si="7"/>
        <v>0</v>
      </c>
      <c r="N329" s="137">
        <f t="shared" si="7"/>
        <v>-15.299999999999955</v>
      </c>
      <c r="O329" s="133">
        <f t="shared" si="7"/>
        <v>0</v>
      </c>
      <c r="P329" s="137">
        <f t="shared" si="7"/>
        <v>3422.75</v>
      </c>
      <c r="Q329" s="134">
        <f t="shared" si="7"/>
        <v>0</v>
      </c>
    </row>
    <row r="330" spans="2:17">
      <c r="B330" s="132">
        <f t="shared" si="6"/>
        <v>82</v>
      </c>
      <c r="C330" s="133" t="str">
        <f t="shared" si="6"/>
        <v>תרבות</v>
      </c>
      <c r="D330" s="139">
        <f t="shared" si="6"/>
        <v>71</v>
      </c>
      <c r="E330" s="133">
        <f t="shared" si="6"/>
        <v>0</v>
      </c>
      <c r="F330" s="139">
        <f t="shared" si="6"/>
        <v>14402</v>
      </c>
      <c r="G330" s="136"/>
      <c r="H330" s="139">
        <f t="shared" si="7"/>
        <v>3600.5</v>
      </c>
      <c r="I330" s="133">
        <f t="shared" si="7"/>
        <v>0</v>
      </c>
      <c r="J330" s="139">
        <f t="shared" si="7"/>
        <v>63.7</v>
      </c>
      <c r="K330" s="133">
        <f t="shared" si="7"/>
        <v>0</v>
      </c>
      <c r="L330" s="139">
        <f t="shared" si="7"/>
        <v>2920</v>
      </c>
      <c r="M330" s="133">
        <f t="shared" si="7"/>
        <v>0</v>
      </c>
      <c r="N330" s="140">
        <f t="shared" si="7"/>
        <v>7.2999999999999972</v>
      </c>
      <c r="O330" s="133">
        <f t="shared" si="7"/>
        <v>0</v>
      </c>
      <c r="P330" s="140">
        <f t="shared" si="7"/>
        <v>680.5</v>
      </c>
      <c r="Q330" s="134">
        <f t="shared" si="7"/>
        <v>0</v>
      </c>
    </row>
    <row r="331" spans="2:17">
      <c r="B331" s="132">
        <f t="shared" si="6"/>
        <v>83</v>
      </c>
      <c r="C331" s="133" t="str">
        <f t="shared" si="6"/>
        <v>בריאות</v>
      </c>
      <c r="D331" s="139">
        <f t="shared" si="6"/>
        <v>3</v>
      </c>
      <c r="E331" s="133">
        <f t="shared" si="6"/>
        <v>0</v>
      </c>
      <c r="F331" s="139">
        <f t="shared" si="6"/>
        <v>570</v>
      </c>
      <c r="G331" s="136"/>
      <c r="H331" s="139">
        <f t="shared" si="7"/>
        <v>142.5</v>
      </c>
      <c r="I331" s="133">
        <f t="shared" si="7"/>
        <v>0</v>
      </c>
      <c r="J331" s="139">
        <f t="shared" si="7"/>
        <v>3</v>
      </c>
      <c r="K331" s="133">
        <f t="shared" si="7"/>
        <v>0</v>
      </c>
      <c r="L331" s="139">
        <f t="shared" si="7"/>
        <v>132</v>
      </c>
      <c r="M331" s="133">
        <f t="shared" si="7"/>
        <v>0</v>
      </c>
      <c r="N331" s="140">
        <f t="shared" si="7"/>
        <v>0</v>
      </c>
      <c r="O331" s="133">
        <f t="shared" si="7"/>
        <v>0</v>
      </c>
      <c r="P331" s="140">
        <f t="shared" si="7"/>
        <v>10.5</v>
      </c>
      <c r="Q331" s="134">
        <f t="shared" si="7"/>
        <v>0</v>
      </c>
    </row>
    <row r="332" spans="2:17">
      <c r="B332" s="132">
        <f t="shared" si="6"/>
        <v>84</v>
      </c>
      <c r="C332" s="133" t="str">
        <f t="shared" si="6"/>
        <v>רווחה</v>
      </c>
      <c r="D332" s="139">
        <f t="shared" si="6"/>
        <v>150</v>
      </c>
      <c r="E332" s="133">
        <f t="shared" si="6"/>
        <v>0</v>
      </c>
      <c r="F332" s="139">
        <f t="shared" si="6"/>
        <v>28469</v>
      </c>
      <c r="G332" s="136"/>
      <c r="H332" s="139">
        <f t="shared" si="7"/>
        <v>7117.25</v>
      </c>
      <c r="I332" s="133">
        <f t="shared" si="7"/>
        <v>0</v>
      </c>
      <c r="J332" s="139">
        <f t="shared" si="7"/>
        <v>138.19999999999999</v>
      </c>
      <c r="K332" s="133">
        <f t="shared" si="7"/>
        <v>0</v>
      </c>
      <c r="L332" s="139">
        <f t="shared" si="7"/>
        <v>6183</v>
      </c>
      <c r="M332" s="133">
        <f t="shared" si="7"/>
        <v>0</v>
      </c>
      <c r="N332" s="140">
        <f t="shared" si="7"/>
        <v>11.800000000000011</v>
      </c>
      <c r="O332" s="133">
        <f t="shared" si="7"/>
        <v>0</v>
      </c>
      <c r="P332" s="140">
        <f t="shared" si="7"/>
        <v>934.25</v>
      </c>
      <c r="Q332" s="134">
        <f t="shared" si="7"/>
        <v>0</v>
      </c>
    </row>
    <row r="333" spans="2:17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>
      <c r="B334" s="132">
        <f t="shared" si="6"/>
        <v>86</v>
      </c>
      <c r="C334" s="133" t="str">
        <f t="shared" si="6"/>
        <v>קליטת עליה</v>
      </c>
      <c r="D334" s="139">
        <f t="shared" si="6"/>
        <v>12</v>
      </c>
      <c r="E334" s="133">
        <f t="shared" si="6"/>
        <v>0</v>
      </c>
      <c r="F334" s="139">
        <f t="shared" si="6"/>
        <v>1946</v>
      </c>
      <c r="G334" s="136"/>
      <c r="H334" s="139">
        <f t="shared" si="7"/>
        <v>486.5</v>
      </c>
      <c r="I334" s="133">
        <f t="shared" si="7"/>
        <v>0</v>
      </c>
      <c r="J334" s="139">
        <f t="shared" si="7"/>
        <v>7.8</v>
      </c>
      <c r="K334" s="133">
        <f t="shared" si="7"/>
        <v>0</v>
      </c>
      <c r="L334" s="139">
        <f t="shared" si="7"/>
        <v>296</v>
      </c>
      <c r="M334" s="133">
        <f t="shared" si="7"/>
        <v>0</v>
      </c>
      <c r="N334" s="140">
        <f t="shared" si="7"/>
        <v>4.2</v>
      </c>
      <c r="O334" s="133">
        <f t="shared" si="7"/>
        <v>0</v>
      </c>
      <c r="P334" s="140">
        <f t="shared" si="7"/>
        <v>190.5</v>
      </c>
      <c r="Q334" s="134">
        <f t="shared" si="7"/>
        <v>0</v>
      </c>
    </row>
    <row r="335" spans="2:17">
      <c r="B335" s="132">
        <f t="shared" si="6"/>
        <v>87</v>
      </c>
      <c r="C335" s="133" t="str">
        <f t="shared" si="6"/>
        <v>איכות סביבה</v>
      </c>
      <c r="D335" s="139">
        <f t="shared" si="6"/>
        <v>4</v>
      </c>
      <c r="E335" s="133">
        <f t="shared" si="6"/>
        <v>0</v>
      </c>
      <c r="F335" s="139">
        <f t="shared" si="6"/>
        <v>642</v>
      </c>
      <c r="G335" s="136"/>
      <c r="H335" s="139">
        <f t="shared" si="7"/>
        <v>160.5</v>
      </c>
      <c r="I335" s="133">
        <f t="shared" si="7"/>
        <v>0</v>
      </c>
      <c r="J335" s="139">
        <f t="shared" si="7"/>
        <v>4.9000000000000004</v>
      </c>
      <c r="K335" s="133">
        <f t="shared" si="7"/>
        <v>0</v>
      </c>
      <c r="L335" s="139">
        <f t="shared" si="7"/>
        <v>200</v>
      </c>
      <c r="M335" s="133">
        <f t="shared" si="7"/>
        <v>0</v>
      </c>
      <c r="N335" s="140">
        <f t="shared" si="7"/>
        <v>-0.90000000000000036</v>
      </c>
      <c r="O335" s="133">
        <f t="shared" si="7"/>
        <v>0</v>
      </c>
      <c r="P335" s="140">
        <f t="shared" si="7"/>
        <v>-39.5</v>
      </c>
      <c r="Q335" s="134">
        <f t="shared" si="7"/>
        <v>0</v>
      </c>
    </row>
    <row r="336" spans="2:17">
      <c r="B336" s="132">
        <f t="shared" si="6"/>
        <v>0</v>
      </c>
      <c r="C336" s="133" t="str">
        <f t="shared" si="6"/>
        <v>סה"כ שרותים ממלכתיים</v>
      </c>
      <c r="D336" s="199">
        <f t="shared" si="6"/>
        <v>1303</v>
      </c>
      <c r="E336" s="200">
        <f t="shared" si="6"/>
        <v>0</v>
      </c>
      <c r="F336" s="199">
        <f t="shared" si="6"/>
        <v>209368</v>
      </c>
      <c r="G336" s="201"/>
      <c r="H336" s="199">
        <f t="shared" si="7"/>
        <v>52342</v>
      </c>
      <c r="I336" s="200">
        <f t="shared" si="7"/>
        <v>0</v>
      </c>
      <c r="J336" s="199">
        <f t="shared" si="7"/>
        <v>1295.9000000000001</v>
      </c>
      <c r="K336" s="200">
        <f t="shared" si="7"/>
        <v>0</v>
      </c>
      <c r="L336" s="199">
        <f t="shared" si="7"/>
        <v>47143</v>
      </c>
      <c r="M336" s="200">
        <f t="shared" si="7"/>
        <v>0</v>
      </c>
      <c r="N336" s="199">
        <f t="shared" si="7"/>
        <v>7.1000000000000529</v>
      </c>
      <c r="O336" s="133">
        <f t="shared" si="7"/>
        <v>0</v>
      </c>
      <c r="P336" s="199">
        <f t="shared" si="7"/>
        <v>5199</v>
      </c>
      <c r="Q336" s="134">
        <f t="shared" si="7"/>
        <v>0</v>
      </c>
    </row>
    <row r="337" spans="2:17">
      <c r="B337" s="132">
        <f t="shared" si="6"/>
        <v>9</v>
      </c>
      <c r="C337" s="198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>
      <c r="B338" s="132">
        <f t="shared" si="6"/>
        <v>91</v>
      </c>
      <c r="C338" s="133" t="str">
        <f t="shared" si="6"/>
        <v>מים</v>
      </c>
      <c r="D338" s="136">
        <f t="shared" si="6"/>
        <v>5</v>
      </c>
      <c r="E338" s="133">
        <f t="shared" si="6"/>
        <v>0</v>
      </c>
      <c r="F338" s="136">
        <f t="shared" si="6"/>
        <v>1440</v>
      </c>
      <c r="G338" s="136"/>
      <c r="H338" s="136">
        <f t="shared" si="7"/>
        <v>360</v>
      </c>
      <c r="I338" s="133">
        <f t="shared" si="7"/>
        <v>0</v>
      </c>
      <c r="J338" s="136">
        <f t="shared" si="7"/>
        <v>5</v>
      </c>
      <c r="K338" s="133">
        <f t="shared" si="7"/>
        <v>0</v>
      </c>
      <c r="L338" s="136">
        <f t="shared" si="7"/>
        <v>344</v>
      </c>
      <c r="M338" s="133">
        <f t="shared" si="7"/>
        <v>0</v>
      </c>
      <c r="N338" s="137">
        <f t="shared" si="7"/>
        <v>0</v>
      </c>
      <c r="O338" s="133">
        <f t="shared" si="7"/>
        <v>0</v>
      </c>
      <c r="P338" s="137">
        <f t="shared" si="7"/>
        <v>16</v>
      </c>
      <c r="Q338" s="134">
        <f t="shared" si="7"/>
        <v>0</v>
      </c>
    </row>
    <row r="339" spans="2:17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>
      <c r="B340" s="132">
        <f t="shared" si="6"/>
        <v>93</v>
      </c>
      <c r="C340" s="133" t="str">
        <f t="shared" si="6"/>
        <v>נכסים</v>
      </c>
      <c r="D340" s="139">
        <f t="shared" si="6"/>
        <v>20</v>
      </c>
      <c r="E340" s="133">
        <f t="shared" si="6"/>
        <v>0</v>
      </c>
      <c r="F340" s="139">
        <f t="shared" si="6"/>
        <v>4088</v>
      </c>
      <c r="G340" s="136"/>
      <c r="H340" s="139">
        <f t="shared" si="7"/>
        <v>1022</v>
      </c>
      <c r="I340" s="133">
        <f t="shared" si="7"/>
        <v>0</v>
      </c>
      <c r="J340" s="139">
        <f t="shared" si="7"/>
        <v>18.600000000000001</v>
      </c>
      <c r="K340" s="133">
        <f t="shared" si="7"/>
        <v>0</v>
      </c>
      <c r="L340" s="139">
        <f t="shared" si="7"/>
        <v>843</v>
      </c>
      <c r="M340" s="133">
        <f t="shared" si="7"/>
        <v>0</v>
      </c>
      <c r="N340" s="140">
        <f t="shared" si="7"/>
        <v>1.3999999999999986</v>
      </c>
      <c r="O340" s="133">
        <f t="shared" si="7"/>
        <v>0</v>
      </c>
      <c r="P340" s="140">
        <f t="shared" si="7"/>
        <v>179</v>
      </c>
      <c r="Q340" s="134"/>
    </row>
    <row r="341" spans="2:17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>
      <c r="B342" s="132">
        <f t="shared" si="6"/>
        <v>97</v>
      </c>
      <c r="C342" s="133" t="str">
        <f t="shared" si="6"/>
        <v>מפעלי ביוב</v>
      </c>
      <c r="D342" s="139">
        <f t="shared" si="6"/>
        <v>3</v>
      </c>
      <c r="E342" s="133">
        <f t="shared" si="6"/>
        <v>0</v>
      </c>
      <c r="F342" s="139">
        <f t="shared" si="6"/>
        <v>722</v>
      </c>
      <c r="G342" s="136"/>
      <c r="H342" s="139">
        <f t="shared" si="7"/>
        <v>180.5</v>
      </c>
      <c r="I342" s="133">
        <f t="shared" si="7"/>
        <v>0</v>
      </c>
      <c r="J342" s="139">
        <f t="shared" si="7"/>
        <v>3</v>
      </c>
      <c r="K342" s="133">
        <f t="shared" si="7"/>
        <v>0</v>
      </c>
      <c r="L342" s="139">
        <f t="shared" si="7"/>
        <v>160</v>
      </c>
      <c r="M342" s="133">
        <f t="shared" si="7"/>
        <v>0</v>
      </c>
      <c r="N342" s="140">
        <f t="shared" si="7"/>
        <v>0</v>
      </c>
      <c r="O342" s="133">
        <f t="shared" si="7"/>
        <v>0</v>
      </c>
      <c r="P342" s="140">
        <f t="shared" si="7"/>
        <v>20.5</v>
      </c>
      <c r="Q342" s="134">
        <f t="shared" si="7"/>
        <v>0</v>
      </c>
    </row>
    <row r="343" spans="2:17">
      <c r="B343" s="132">
        <f t="shared" si="6"/>
        <v>98</v>
      </c>
      <c r="C343" s="133" t="str">
        <f t="shared" si="6"/>
        <v>מפעלים אחרים</v>
      </c>
      <c r="D343" s="139">
        <f t="shared" si="6"/>
        <v>26</v>
      </c>
      <c r="E343" s="133">
        <f t="shared" si="6"/>
        <v>0</v>
      </c>
      <c r="F343" s="139">
        <f t="shared" si="6"/>
        <v>4923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26.5</v>
      </c>
      <c r="K343" s="133">
        <f t="shared" si="7"/>
        <v>0</v>
      </c>
      <c r="L343" s="139">
        <f t="shared" si="7"/>
        <v>1156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>
      <c r="B344" s="132">
        <f t="shared" ref="B344:F349" si="8">B39</f>
        <v>0</v>
      </c>
      <c r="C344" s="133" t="str">
        <f t="shared" si="8"/>
        <v>סה"כ מפעלים</v>
      </c>
      <c r="D344" s="199">
        <f t="shared" si="8"/>
        <v>54</v>
      </c>
      <c r="E344" s="200">
        <f t="shared" si="8"/>
        <v>0</v>
      </c>
      <c r="F344" s="199">
        <f t="shared" si="8"/>
        <v>11173</v>
      </c>
      <c r="G344" s="201"/>
      <c r="H344" s="199">
        <f t="shared" ref="H344:Q344" si="9">H39</f>
        <v>2793.25</v>
      </c>
      <c r="I344" s="200">
        <f t="shared" si="9"/>
        <v>0</v>
      </c>
      <c r="J344" s="199">
        <f t="shared" si="9"/>
        <v>53.1</v>
      </c>
      <c r="K344" s="200">
        <f t="shared" si="9"/>
        <v>0</v>
      </c>
      <c r="L344" s="199">
        <f t="shared" si="9"/>
        <v>2503</v>
      </c>
      <c r="M344" s="200">
        <f t="shared" si="9"/>
        <v>0</v>
      </c>
      <c r="N344" s="199">
        <f t="shared" si="9"/>
        <v>1.3999999999999986</v>
      </c>
      <c r="O344" s="133">
        <f t="shared" si="9"/>
        <v>0</v>
      </c>
      <c r="P344" s="199">
        <f t="shared" si="9"/>
        <v>215.5</v>
      </c>
      <c r="Q344" s="134">
        <f t="shared" si="9"/>
        <v>0</v>
      </c>
    </row>
    <row r="345" spans="2:17" ht="2.25" customHeight="1">
      <c r="B345" s="132">
        <f t="shared" si="8"/>
        <v>0</v>
      </c>
      <c r="C345" s="198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>
      <c r="B346" s="132">
        <f t="shared" si="8"/>
        <v>0</v>
      </c>
      <c r="C346" s="133" t="str">
        <f t="shared" si="8"/>
        <v>גימלאים</v>
      </c>
      <c r="D346" s="136">
        <f t="shared" si="8"/>
        <v>643</v>
      </c>
      <c r="E346" s="133">
        <f t="shared" si="8"/>
        <v>0</v>
      </c>
      <c r="F346" s="136">
        <f t="shared" si="8"/>
        <v>103174</v>
      </c>
      <c r="G346" s="136"/>
      <c r="H346" s="136">
        <f t="shared" ref="H346:Q346" si="11">H41</f>
        <v>25793.5</v>
      </c>
      <c r="I346" s="133">
        <f t="shared" si="11"/>
        <v>0</v>
      </c>
      <c r="J346" s="136">
        <f t="shared" si="11"/>
        <v>650.6</v>
      </c>
      <c r="K346" s="133">
        <f t="shared" si="11"/>
        <v>0</v>
      </c>
      <c r="L346" s="136">
        <f t="shared" si="11"/>
        <v>24633</v>
      </c>
      <c r="M346" s="133">
        <f t="shared" si="11"/>
        <v>0</v>
      </c>
      <c r="N346" s="137">
        <f t="shared" si="11"/>
        <v>-7.6000000000000227</v>
      </c>
      <c r="O346" s="133">
        <f t="shared" si="11"/>
        <v>0</v>
      </c>
      <c r="P346" s="137">
        <f t="shared" si="11"/>
        <v>1160.5</v>
      </c>
      <c r="Q346" s="134">
        <f t="shared" si="11"/>
        <v>0</v>
      </c>
    </row>
    <row r="347" spans="2:17" ht="2.25" customHeight="1">
      <c r="B347" s="132">
        <f t="shared" si="8"/>
        <v>0</v>
      </c>
      <c r="C347" s="198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>
      <c r="B348" s="132">
        <f t="shared" si="8"/>
        <v>0</v>
      </c>
      <c r="C348" s="202" t="str">
        <f t="shared" si="8"/>
        <v>סה"כ כללי</v>
      </c>
      <c r="D348" s="203">
        <f t="shared" si="8"/>
        <v>2503</v>
      </c>
      <c r="E348" s="200">
        <f t="shared" si="8"/>
        <v>0</v>
      </c>
      <c r="F348" s="203">
        <f t="shared" si="8"/>
        <v>435768</v>
      </c>
      <c r="G348" s="204"/>
      <c r="H348" s="203">
        <f t="shared" ref="H348:Q348" si="13">H43</f>
        <v>108942</v>
      </c>
      <c r="I348" s="133">
        <f t="shared" si="13"/>
        <v>0</v>
      </c>
      <c r="J348" s="203">
        <f t="shared" si="13"/>
        <v>2456.8200000000002</v>
      </c>
      <c r="K348" s="133">
        <f t="shared" si="13"/>
        <v>0</v>
      </c>
      <c r="L348" s="203">
        <f t="shared" si="13"/>
        <v>98243</v>
      </c>
      <c r="M348" s="133">
        <f t="shared" si="13"/>
        <v>0</v>
      </c>
      <c r="N348" s="203">
        <f t="shared" si="13"/>
        <v>46.179999999999836</v>
      </c>
      <c r="O348" s="133">
        <f t="shared" si="13"/>
        <v>0</v>
      </c>
      <c r="P348" s="203">
        <f t="shared" si="13"/>
        <v>10699</v>
      </c>
      <c r="Q348" s="134">
        <f t="shared" si="13"/>
        <v>0</v>
      </c>
    </row>
    <row r="349" spans="2:17" ht="19.5" customHeight="1" thickTop="1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>
      <c r="B350" s="132">
        <f>B45</f>
        <v>0</v>
      </c>
      <c r="C350" s="508" t="str">
        <f>C45</f>
        <v>רכישת שרותי כוח אדם</v>
      </c>
      <c r="D350" s="509"/>
      <c r="E350" s="509">
        <f>E45</f>
        <v>0</v>
      </c>
      <c r="F350" s="510" t="str">
        <f>D45</f>
        <v>תקציב 2021</v>
      </c>
      <c r="G350" s="509"/>
      <c r="H350" s="509">
        <f>H45</f>
        <v>0</v>
      </c>
      <c r="I350" s="133">
        <f>I45</f>
        <v>0</v>
      </c>
      <c r="J350" s="509"/>
      <c r="K350" s="509">
        <f>K45</f>
        <v>0</v>
      </c>
      <c r="L350" s="510" t="str">
        <f>CONCATENATE("ביצוע ",Shana)</f>
        <v>ביצוע 2021</v>
      </c>
      <c r="M350" s="509">
        <f t="shared" ref="M350:Q351" si="15">M45</f>
        <v>0</v>
      </c>
      <c r="N350" s="509">
        <f t="shared" si="15"/>
        <v>0</v>
      </c>
      <c r="O350" s="133">
        <f t="shared" si="15"/>
        <v>0</v>
      </c>
      <c r="P350" s="510" t="str">
        <f t="shared" si="15"/>
        <v>הפרש עלויות</v>
      </c>
      <c r="Q350" s="134">
        <f t="shared" si="15"/>
        <v>0</v>
      </c>
    </row>
    <row r="351" spans="2:17" ht="25.5">
      <c r="B351" s="132">
        <f>B46</f>
        <v>0</v>
      </c>
      <c r="C351" s="133">
        <f>C46</f>
        <v>0</v>
      </c>
      <c r="D351" s="517" t="str">
        <f>D46</f>
        <v>מספר מועסקים</v>
      </c>
      <c r="E351" s="513">
        <f>E46</f>
        <v>0</v>
      </c>
      <c r="F351" s="517" t="str">
        <f>F46</f>
        <v>עלות כוללת</v>
      </c>
      <c r="G351" s="517"/>
      <c r="H351" s="517" t="str">
        <f>H46</f>
        <v>מספר שעות העסקה</v>
      </c>
      <c r="I351" s="513">
        <f>I46</f>
        <v>0</v>
      </c>
      <c r="J351" s="517" t="str">
        <f>J46</f>
        <v>מספר מועסקים</v>
      </c>
      <c r="K351" s="513">
        <f>K46</f>
        <v>0</v>
      </c>
      <c r="L351" s="517" t="str">
        <f>L46</f>
        <v>עלות כוללת</v>
      </c>
      <c r="M351" s="513">
        <f t="shared" si="15"/>
        <v>0</v>
      </c>
      <c r="N351" s="514" t="str">
        <f t="shared" si="15"/>
        <v>מספר שעות העסקה</v>
      </c>
      <c r="O351" s="511">
        <f t="shared" si="15"/>
        <v>0</v>
      </c>
      <c r="P351" s="512">
        <f t="shared" si="15"/>
        <v>0</v>
      </c>
      <c r="Q351" s="134">
        <f t="shared" si="15"/>
        <v>0</v>
      </c>
    </row>
    <row r="352" spans="2:17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3241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515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2726</v>
      </c>
      <c r="Q352" s="134">
        <f t="shared" si="17"/>
        <v>0</v>
      </c>
    </row>
    <row r="353" spans="2:17">
      <c r="B353" s="132">
        <f t="shared" si="16"/>
        <v>0</v>
      </c>
      <c r="C353" s="133" t="str">
        <f t="shared" si="16"/>
        <v>שירותי כוח אדם מקבלן כ"א</v>
      </c>
      <c r="D353" s="519">
        <f t="shared" si="16"/>
        <v>0</v>
      </c>
      <c r="E353" s="133">
        <f t="shared" si="16"/>
        <v>0</v>
      </c>
      <c r="F353" s="519">
        <f t="shared" si="16"/>
        <v>40163</v>
      </c>
      <c r="G353" s="201"/>
      <c r="H353" s="519">
        <f t="shared" si="17"/>
        <v>0</v>
      </c>
      <c r="I353" s="133">
        <f t="shared" si="17"/>
        <v>0</v>
      </c>
      <c r="J353" s="519">
        <f t="shared" si="17"/>
        <v>0</v>
      </c>
      <c r="K353" s="133">
        <f t="shared" si="17"/>
        <v>0</v>
      </c>
      <c r="L353" s="519">
        <f t="shared" si="17"/>
        <v>8787</v>
      </c>
      <c r="M353" s="133">
        <f t="shared" si="17"/>
        <v>0</v>
      </c>
      <c r="N353" s="519">
        <f t="shared" si="17"/>
        <v>0</v>
      </c>
      <c r="O353" s="133">
        <f t="shared" si="17"/>
        <v>0</v>
      </c>
      <c r="P353" s="519">
        <f t="shared" si="17"/>
        <v>31376</v>
      </c>
      <c r="Q353" s="134">
        <f t="shared" si="17"/>
        <v>0</v>
      </c>
    </row>
    <row r="354" spans="2:17" ht="4.5" customHeight="1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>
      <c r="B355" s="132">
        <f t="shared" si="16"/>
        <v>0</v>
      </c>
      <c r="C355" s="202" t="str">
        <f t="shared" si="16"/>
        <v>סה"כ</v>
      </c>
      <c r="D355" s="203">
        <f t="shared" si="16"/>
        <v>0</v>
      </c>
      <c r="E355" s="200">
        <f t="shared" si="16"/>
        <v>0</v>
      </c>
      <c r="F355" s="203">
        <f t="shared" si="16"/>
        <v>43404</v>
      </c>
      <c r="G355" s="204"/>
      <c r="H355" s="203">
        <f t="shared" si="17"/>
        <v>0</v>
      </c>
      <c r="I355" s="133">
        <f t="shared" si="17"/>
        <v>0</v>
      </c>
      <c r="J355" s="203">
        <f t="shared" si="17"/>
        <v>0</v>
      </c>
      <c r="K355" s="133">
        <f t="shared" si="17"/>
        <v>0</v>
      </c>
      <c r="L355" s="203">
        <f t="shared" si="17"/>
        <v>9302</v>
      </c>
      <c r="M355" s="133">
        <f t="shared" si="17"/>
        <v>0</v>
      </c>
      <c r="N355" s="203">
        <f t="shared" si="17"/>
        <v>0</v>
      </c>
      <c r="O355" s="133">
        <f t="shared" si="17"/>
        <v>0</v>
      </c>
      <c r="P355" s="203">
        <f t="shared" si="17"/>
        <v>34102</v>
      </c>
      <c r="Q355" s="134">
        <f t="shared" si="17"/>
        <v>0</v>
      </c>
    </row>
    <row r="356" spans="2:17" ht="3.75" customHeight="1" thickTop="1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/>
    <row r="360" spans="2:17" ht="10.5" customHeight="1">
      <c r="C360" s="146" t="str">
        <f>CONCATENATE("ביקורת:   ",BikoretCode)</f>
        <v xml:space="preserve">ביקורת:   </v>
      </c>
    </row>
  </sheetData>
  <sheetProtection password="83C1" sheet="1" objects="1" scenarios="1"/>
  <mergeCells count="15">
    <mergeCell ref="B305:P305"/>
    <mergeCell ref="D45:H45"/>
    <mergeCell ref="B306:P306"/>
    <mergeCell ref="B307:P307"/>
    <mergeCell ref="D311:F311"/>
    <mergeCell ref="J311:L311"/>
    <mergeCell ref="N311:P311"/>
    <mergeCell ref="J45:N45"/>
    <mergeCell ref="D1:Q1"/>
    <mergeCell ref="D2:Q2"/>
    <mergeCell ref="D3:Q3"/>
    <mergeCell ref="C5:P5"/>
    <mergeCell ref="D6:F6"/>
    <mergeCell ref="J6:L6"/>
    <mergeCell ref="N6:P6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>
      <c r="A1" s="105"/>
      <c r="B1" s="105"/>
      <c r="C1" s="105"/>
      <c r="D1" s="105"/>
      <c r="E1" s="105"/>
      <c r="F1" s="105"/>
      <c r="G1" s="105"/>
      <c r="H1" s="105"/>
      <c r="I1" s="105"/>
      <c r="J1" s="639" t="str">
        <f>GufMevukar</f>
        <v>עיריית בת-ים</v>
      </c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  <c r="Y1" s="105"/>
      <c r="Z1" s="105"/>
      <c r="AA1" s="105"/>
      <c r="AB1" s="105"/>
    </row>
    <row r="2" spans="1:28" ht="19.5" thickTop="1" thickBot="1">
      <c r="A2" s="105"/>
      <c r="B2" s="105"/>
      <c r="C2" s="105"/>
      <c r="D2" s="105"/>
      <c r="E2" s="105"/>
      <c r="F2" s="105"/>
      <c r="G2" s="105"/>
      <c r="H2" s="105"/>
      <c r="I2" s="105"/>
      <c r="J2" s="642" t="s">
        <v>686</v>
      </c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105"/>
      <c r="Z2" s="105"/>
      <c r="AA2" s="105"/>
      <c r="AB2" s="105"/>
    </row>
    <row r="3" spans="1:28" ht="19.5" thickTop="1" thickBot="1">
      <c r="A3" s="105"/>
      <c r="B3" s="105"/>
      <c r="C3" s="105"/>
      <c r="D3" s="105"/>
      <c r="E3" s="105"/>
      <c r="F3" s="105"/>
      <c r="G3" s="105"/>
      <c r="H3" s="105"/>
      <c r="I3" s="105"/>
      <c r="J3" s="639" t="str">
        <f>ReportPeriod</f>
        <v>לתקופה: רבעון 1, שנת 2021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1"/>
      <c r="Y3" s="105"/>
      <c r="Z3" s="105"/>
      <c r="AA3" s="105"/>
      <c r="AB3" s="105"/>
    </row>
    <row r="4" spans="1:2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>
      <c r="A6" s="110"/>
      <c r="B6" s="176" t="str">
        <f>IF(Y38&lt;&gt;0,"חסר ערך בעמודה תיאור תפקיד","")</f>
        <v/>
      </c>
      <c r="C6" s="110"/>
      <c r="D6" s="577" t="str">
        <f>IF(OR('הגדרות כלליות'!D20=1,'הגדרות כלליות'!D20=3),CONCATENATE("דוח זה אינו נדרש ברבעון מספר "," ",'הגדרות כלליות'!D20),"")</f>
        <v>דוח זה אינו נדרש ברבעון מספר  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>
      <c r="A8" s="110"/>
      <c r="B8" s="150"/>
      <c r="C8" s="115"/>
      <c r="D8" s="58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8"/>
      <c r="Q8" s="115"/>
      <c r="R8" s="118"/>
      <c r="S8" s="115"/>
      <c r="T8" s="119">
        <f t="shared" ref="T8:T37" si="0">J8+L8+N8+P8+R8</f>
        <v>0</v>
      </c>
      <c r="U8" s="115"/>
      <c r="V8" s="118"/>
      <c r="W8" s="115"/>
      <c r="X8" s="119">
        <f t="shared" ref="X8:X37" si="1">V8+T8</f>
        <v>0</v>
      </c>
      <c r="Y8" s="107">
        <f t="shared" ref="Y8:Y37" si="2">IF(AND($B8=0,OR($J8&lt;&gt;0,$L8&lt;&gt;0,$N8&lt;&gt;0,$P8&lt;&gt;0,$R8&lt;&gt;0,$V8&lt;&gt;0)),1,0)</f>
        <v>0</v>
      </c>
      <c r="Z8" s="107" t="str">
        <f t="shared" ref="Z8:Z36" si="3">IF(X8 &lt;&gt;0,X8,"")</f>
        <v/>
      </c>
      <c r="AA8" s="116"/>
      <c r="AB8" s="111"/>
    </row>
    <row r="9" spans="1:28">
      <c r="A9" s="110"/>
      <c r="B9" s="152"/>
      <c r="C9" s="115"/>
      <c r="D9" s="58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8"/>
      <c r="Q9" s="115"/>
      <c r="R9" s="118"/>
      <c r="S9" s="115"/>
      <c r="T9" s="119">
        <f t="shared" si="0"/>
        <v>0</v>
      </c>
      <c r="U9" s="115"/>
      <c r="V9" s="118"/>
      <c r="W9" s="115"/>
      <c r="X9" s="119">
        <f t="shared" si="1"/>
        <v>0</v>
      </c>
      <c r="Y9" s="107">
        <f t="shared" si="2"/>
        <v>0</v>
      </c>
      <c r="Z9" s="107" t="str">
        <f t="shared" si="3"/>
        <v/>
      </c>
      <c r="AA9" s="116"/>
      <c r="AB9" s="111"/>
    </row>
    <row r="10" spans="1:28">
      <c r="A10" s="110"/>
      <c r="B10" s="152"/>
      <c r="C10" s="115"/>
      <c r="D10" s="58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8"/>
      <c r="Q10" s="115"/>
      <c r="R10" s="118"/>
      <c r="S10" s="115"/>
      <c r="T10" s="119">
        <f t="shared" si="0"/>
        <v>0</v>
      </c>
      <c r="U10" s="115"/>
      <c r="V10" s="118"/>
      <c r="W10" s="115"/>
      <c r="X10" s="119">
        <f t="shared" si="1"/>
        <v>0</v>
      </c>
      <c r="Y10" s="107">
        <f t="shared" si="2"/>
        <v>0</v>
      </c>
      <c r="Z10" s="107" t="str">
        <f t="shared" si="3"/>
        <v/>
      </c>
      <c r="AA10" s="116"/>
      <c r="AB10" s="111"/>
    </row>
    <row r="11" spans="1:28">
      <c r="A11" s="110"/>
      <c r="B11" s="152"/>
      <c r="C11" s="115"/>
      <c r="D11" s="586"/>
      <c r="E11" s="115"/>
      <c r="F11" s="118"/>
      <c r="G11" s="115"/>
      <c r="H11" s="177"/>
      <c r="I11" s="115"/>
      <c r="J11" s="177"/>
      <c r="K11" s="115"/>
      <c r="L11" s="177"/>
      <c r="M11" s="115"/>
      <c r="N11" s="177"/>
      <c r="O11" s="115"/>
      <c r="P11" s="177"/>
      <c r="Q11" s="115"/>
      <c r="R11" s="177"/>
      <c r="S11" s="115"/>
      <c r="T11" s="119">
        <f t="shared" si="0"/>
        <v>0</v>
      </c>
      <c r="U11" s="115"/>
      <c r="V11" s="118"/>
      <c r="W11" s="115"/>
      <c r="X11" s="119">
        <f t="shared" si="1"/>
        <v>0</v>
      </c>
      <c r="Y11" s="107">
        <f t="shared" si="2"/>
        <v>0</v>
      </c>
      <c r="Z11" s="107" t="str">
        <f t="shared" si="3"/>
        <v/>
      </c>
      <c r="AA11" s="116"/>
      <c r="AB11" s="111"/>
    </row>
    <row r="12" spans="1:28">
      <c r="A12" s="110"/>
      <c r="B12" s="150"/>
      <c r="C12" s="115"/>
      <c r="D12" s="588"/>
      <c r="E12" s="115"/>
      <c r="F12" s="118"/>
      <c r="G12" s="115"/>
      <c r="H12" s="118"/>
      <c r="I12" s="115"/>
      <c r="J12" s="118"/>
      <c r="K12" s="115"/>
      <c r="L12" s="118"/>
      <c r="M12" s="115"/>
      <c r="N12" s="118"/>
      <c r="O12" s="115"/>
      <c r="P12" s="118"/>
      <c r="Q12" s="115"/>
      <c r="R12" s="118"/>
      <c r="S12" s="115"/>
      <c r="T12" s="119">
        <f t="shared" si="0"/>
        <v>0</v>
      </c>
      <c r="U12" s="115"/>
      <c r="V12" s="118"/>
      <c r="W12" s="115"/>
      <c r="X12" s="119">
        <f t="shared" si="1"/>
        <v>0</v>
      </c>
      <c r="Y12" s="107">
        <f t="shared" si="2"/>
        <v>0</v>
      </c>
      <c r="Z12" s="107" t="str">
        <f t="shared" si="3"/>
        <v/>
      </c>
      <c r="AA12" s="116"/>
      <c r="AB12" s="111"/>
    </row>
    <row r="13" spans="1:28">
      <c r="A13" s="110"/>
      <c r="B13" s="152"/>
      <c r="C13" s="115"/>
      <c r="D13" s="588"/>
      <c r="E13" s="115"/>
      <c r="F13" s="118"/>
      <c r="G13" s="115"/>
      <c r="H13" s="118"/>
      <c r="I13" s="115"/>
      <c r="J13" s="118"/>
      <c r="K13" s="115"/>
      <c r="L13" s="118"/>
      <c r="M13" s="115"/>
      <c r="N13" s="118"/>
      <c r="O13" s="115"/>
      <c r="P13" s="118"/>
      <c r="Q13" s="115"/>
      <c r="R13" s="118"/>
      <c r="S13" s="115"/>
      <c r="T13" s="119">
        <f t="shared" si="0"/>
        <v>0</v>
      </c>
      <c r="U13" s="115"/>
      <c r="V13" s="118"/>
      <c r="W13" s="115"/>
      <c r="X13" s="119">
        <f t="shared" si="1"/>
        <v>0</v>
      </c>
      <c r="Y13" s="107">
        <f t="shared" si="2"/>
        <v>0</v>
      </c>
      <c r="Z13" s="107" t="str">
        <f t="shared" si="3"/>
        <v/>
      </c>
      <c r="AA13" s="116"/>
      <c r="AB13" s="111"/>
    </row>
    <row r="14" spans="1:28">
      <c r="A14" s="110"/>
      <c r="B14" s="152"/>
      <c r="C14" s="115"/>
      <c r="D14" s="588"/>
      <c r="E14" s="115"/>
      <c r="F14" s="118"/>
      <c r="G14" s="115"/>
      <c r="H14" s="118"/>
      <c r="I14" s="115"/>
      <c r="J14" s="118"/>
      <c r="K14" s="115"/>
      <c r="L14" s="118"/>
      <c r="M14" s="115"/>
      <c r="N14" s="118"/>
      <c r="O14" s="115"/>
      <c r="P14" s="118"/>
      <c r="Q14" s="115"/>
      <c r="R14" s="118"/>
      <c r="S14" s="115"/>
      <c r="T14" s="119">
        <f t="shared" si="0"/>
        <v>0</v>
      </c>
      <c r="U14" s="115"/>
      <c r="V14" s="118"/>
      <c r="W14" s="115"/>
      <c r="X14" s="119">
        <f t="shared" si="1"/>
        <v>0</v>
      </c>
      <c r="Y14" s="107">
        <f t="shared" si="2"/>
        <v>0</v>
      </c>
      <c r="Z14" s="107" t="str">
        <f t="shared" si="3"/>
        <v/>
      </c>
      <c r="AA14" s="116"/>
      <c r="AB14" s="111"/>
    </row>
    <row r="15" spans="1:28">
      <c r="A15" s="110"/>
      <c r="B15" s="152"/>
      <c r="C15" s="115"/>
      <c r="D15" s="588"/>
      <c r="E15" s="115"/>
      <c r="F15" s="118"/>
      <c r="G15" s="115"/>
      <c r="H15" s="118"/>
      <c r="I15" s="115"/>
      <c r="J15" s="118"/>
      <c r="K15" s="115"/>
      <c r="L15" s="118"/>
      <c r="M15" s="115"/>
      <c r="N15" s="118"/>
      <c r="O15" s="115"/>
      <c r="P15" s="118"/>
      <c r="Q15" s="115"/>
      <c r="R15" s="118"/>
      <c r="S15" s="115"/>
      <c r="T15" s="119">
        <f t="shared" si="0"/>
        <v>0</v>
      </c>
      <c r="U15" s="115"/>
      <c r="V15" s="118"/>
      <c r="W15" s="115"/>
      <c r="X15" s="119">
        <f t="shared" si="1"/>
        <v>0</v>
      </c>
      <c r="Y15" s="107">
        <f t="shared" si="2"/>
        <v>0</v>
      </c>
      <c r="Z15" s="107" t="str">
        <f t="shared" si="3"/>
        <v/>
      </c>
      <c r="AA15" s="116"/>
      <c r="AB15" s="111"/>
    </row>
    <row r="16" spans="1:28">
      <c r="A16" s="110"/>
      <c r="B16" s="152"/>
      <c r="C16" s="115"/>
      <c r="D16" s="588"/>
      <c r="E16" s="115"/>
      <c r="F16" s="118"/>
      <c r="G16" s="115"/>
      <c r="H16" s="118"/>
      <c r="I16" s="115"/>
      <c r="J16" s="118"/>
      <c r="K16" s="115"/>
      <c r="L16" s="177"/>
      <c r="M16" s="115"/>
      <c r="N16" s="118"/>
      <c r="O16" s="115"/>
      <c r="P16" s="118"/>
      <c r="Q16" s="115"/>
      <c r="R16" s="118"/>
      <c r="S16" s="115"/>
      <c r="T16" s="119">
        <f t="shared" si="0"/>
        <v>0</v>
      </c>
      <c r="U16" s="115"/>
      <c r="V16" s="118"/>
      <c r="W16" s="115"/>
      <c r="X16" s="119">
        <f t="shared" si="1"/>
        <v>0</v>
      </c>
      <c r="Y16" s="107">
        <f t="shared" si="2"/>
        <v>0</v>
      </c>
      <c r="Z16" s="107" t="str">
        <f t="shared" si="3"/>
        <v/>
      </c>
      <c r="AA16" s="116"/>
      <c r="AB16" s="111"/>
    </row>
    <row r="17" spans="1:28">
      <c r="A17" s="110"/>
      <c r="B17" s="152"/>
      <c r="C17" s="115"/>
      <c r="D17" s="588"/>
      <c r="E17" s="115"/>
      <c r="F17" s="118"/>
      <c r="G17" s="115"/>
      <c r="H17" s="118"/>
      <c r="I17" s="115"/>
      <c r="J17" s="118"/>
      <c r="K17" s="115"/>
      <c r="L17" s="118"/>
      <c r="M17" s="115"/>
      <c r="N17" s="118"/>
      <c r="O17" s="115"/>
      <c r="P17" s="118"/>
      <c r="Q17" s="115"/>
      <c r="R17" s="118"/>
      <c r="S17" s="115"/>
      <c r="T17" s="119">
        <f t="shared" si="0"/>
        <v>0</v>
      </c>
      <c r="U17" s="115"/>
      <c r="V17" s="118"/>
      <c r="W17" s="115"/>
      <c r="X17" s="119">
        <f t="shared" si="1"/>
        <v>0</v>
      </c>
      <c r="Y17" s="107">
        <f t="shared" si="2"/>
        <v>0</v>
      </c>
      <c r="Z17" s="107" t="str">
        <f t="shared" si="3"/>
        <v/>
      </c>
      <c r="AA17" s="116"/>
      <c r="AB17" s="111"/>
    </row>
    <row r="18" spans="1:28">
      <c r="A18" s="110"/>
      <c r="B18" s="152"/>
      <c r="C18" s="115"/>
      <c r="D18" s="588"/>
      <c r="E18" s="115"/>
      <c r="F18" s="118"/>
      <c r="G18" s="115"/>
      <c r="H18" s="118"/>
      <c r="I18" s="115"/>
      <c r="J18" s="118"/>
      <c r="K18" s="115"/>
      <c r="L18" s="118"/>
      <c r="M18" s="115"/>
      <c r="N18" s="118"/>
      <c r="O18" s="115"/>
      <c r="P18" s="118"/>
      <c r="Q18" s="115"/>
      <c r="R18" s="118"/>
      <c r="S18" s="115"/>
      <c r="T18" s="119">
        <f t="shared" si="0"/>
        <v>0</v>
      </c>
      <c r="U18" s="115"/>
      <c r="V18" s="118"/>
      <c r="W18" s="115"/>
      <c r="X18" s="119">
        <f t="shared" si="1"/>
        <v>0</v>
      </c>
      <c r="Y18" s="107">
        <f t="shared" si="2"/>
        <v>0</v>
      </c>
      <c r="Z18" s="107" t="str">
        <f t="shared" si="3"/>
        <v/>
      </c>
      <c r="AA18" s="116"/>
      <c r="AB18" s="111"/>
    </row>
    <row r="19" spans="1:28">
      <c r="A19" s="110"/>
      <c r="B19" s="152"/>
      <c r="C19" s="115"/>
      <c r="D19" s="588"/>
      <c r="E19" s="115"/>
      <c r="F19" s="118"/>
      <c r="G19" s="115"/>
      <c r="H19" s="118"/>
      <c r="I19" s="115"/>
      <c r="J19" s="118"/>
      <c r="K19" s="115"/>
      <c r="L19" s="118"/>
      <c r="M19" s="115"/>
      <c r="N19" s="118"/>
      <c r="O19" s="115"/>
      <c r="P19" s="118"/>
      <c r="Q19" s="115"/>
      <c r="R19" s="118"/>
      <c r="S19" s="115"/>
      <c r="T19" s="119">
        <f t="shared" si="0"/>
        <v>0</v>
      </c>
      <c r="U19" s="115"/>
      <c r="V19" s="118"/>
      <c r="W19" s="115"/>
      <c r="X19" s="119">
        <f t="shared" si="1"/>
        <v>0</v>
      </c>
      <c r="Y19" s="107">
        <f t="shared" si="2"/>
        <v>0</v>
      </c>
      <c r="Z19" s="107" t="str">
        <f t="shared" si="3"/>
        <v/>
      </c>
      <c r="AA19" s="116"/>
      <c r="AB19" s="111"/>
    </row>
    <row r="20" spans="1:28">
      <c r="A20" s="110"/>
      <c r="B20" s="152"/>
      <c r="C20" s="115"/>
      <c r="D20" s="588"/>
      <c r="E20" s="115"/>
      <c r="F20" s="118"/>
      <c r="G20" s="115"/>
      <c r="H20" s="118"/>
      <c r="I20" s="115"/>
      <c r="J20" s="177"/>
      <c r="K20" s="115"/>
      <c r="L20" s="118"/>
      <c r="M20" s="115"/>
      <c r="N20" s="118"/>
      <c r="O20" s="115"/>
      <c r="P20" s="118"/>
      <c r="Q20" s="115"/>
      <c r="R20" s="118"/>
      <c r="S20" s="115"/>
      <c r="T20" s="119">
        <f t="shared" si="0"/>
        <v>0</v>
      </c>
      <c r="U20" s="115"/>
      <c r="V20" s="118"/>
      <c r="W20" s="115"/>
      <c r="X20" s="119">
        <f t="shared" si="1"/>
        <v>0</v>
      </c>
      <c r="Y20" s="107">
        <f t="shared" si="2"/>
        <v>0</v>
      </c>
      <c r="Z20" s="107" t="str">
        <f t="shared" si="3"/>
        <v/>
      </c>
      <c r="AA20" s="116"/>
      <c r="AB20" s="111"/>
    </row>
    <row r="21" spans="1:28">
      <c r="A21" s="110"/>
      <c r="B21" s="152"/>
      <c r="C21" s="115"/>
      <c r="D21" s="588"/>
      <c r="E21" s="115"/>
      <c r="F21" s="118"/>
      <c r="G21" s="115"/>
      <c r="H21" s="118"/>
      <c r="I21" s="115"/>
      <c r="J21" s="118"/>
      <c r="K21" s="115"/>
      <c r="L21" s="118"/>
      <c r="M21" s="115"/>
      <c r="N21" s="118"/>
      <c r="O21" s="115"/>
      <c r="P21" s="118"/>
      <c r="Q21" s="115"/>
      <c r="R21" s="118"/>
      <c r="S21" s="115"/>
      <c r="T21" s="119">
        <f t="shared" si="0"/>
        <v>0</v>
      </c>
      <c r="U21" s="115"/>
      <c r="V21" s="118"/>
      <c r="W21" s="115"/>
      <c r="X21" s="119">
        <f t="shared" si="1"/>
        <v>0</v>
      </c>
      <c r="Y21" s="107">
        <f t="shared" si="2"/>
        <v>0</v>
      </c>
      <c r="Z21" s="107" t="str">
        <f t="shared" si="3"/>
        <v/>
      </c>
      <c r="AA21" s="116"/>
      <c r="AB21" s="111"/>
    </row>
    <row r="22" spans="1:28">
      <c r="A22" s="110"/>
      <c r="B22" s="152"/>
      <c r="C22" s="115"/>
      <c r="D22" s="588"/>
      <c r="E22" s="115"/>
      <c r="F22" s="118"/>
      <c r="G22" s="115"/>
      <c r="H22" s="118"/>
      <c r="I22" s="115"/>
      <c r="J22" s="118"/>
      <c r="K22" s="115"/>
      <c r="L22" s="118"/>
      <c r="M22" s="115"/>
      <c r="N22" s="118"/>
      <c r="O22" s="115"/>
      <c r="P22" s="118"/>
      <c r="Q22" s="115"/>
      <c r="R22" s="118"/>
      <c r="S22" s="115"/>
      <c r="T22" s="119">
        <f t="shared" si="0"/>
        <v>0</v>
      </c>
      <c r="U22" s="115"/>
      <c r="V22" s="118"/>
      <c r="W22" s="115"/>
      <c r="X22" s="119">
        <f t="shared" si="1"/>
        <v>0</v>
      </c>
      <c r="Y22" s="107">
        <f t="shared" si="2"/>
        <v>0</v>
      </c>
      <c r="Z22" s="107" t="str">
        <f t="shared" si="3"/>
        <v/>
      </c>
      <c r="AA22" s="116"/>
      <c r="AB22" s="111"/>
    </row>
    <row r="23" spans="1:28">
      <c r="A23" s="110"/>
      <c r="B23" s="152"/>
      <c r="C23" s="115"/>
      <c r="D23" s="588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>
      <c r="A24" s="110"/>
      <c r="B24" s="152"/>
      <c r="C24" s="115"/>
      <c r="D24" s="588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>
      <c r="A25" s="110"/>
      <c r="B25" s="152"/>
      <c r="C25" s="115"/>
      <c r="D25" s="588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>
      <c r="A26" s="110"/>
      <c r="B26" s="152"/>
      <c r="C26" s="115"/>
      <c r="D26" s="588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>
      <c r="A27" s="110"/>
      <c r="B27" s="152"/>
      <c r="C27" s="115"/>
      <c r="D27" s="588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>
      <c r="A28" s="110"/>
      <c r="B28" s="152"/>
      <c r="C28" s="115"/>
      <c r="D28" s="588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>
      <c r="A29" s="110"/>
      <c r="B29" s="152"/>
      <c r="C29" s="115"/>
      <c r="D29" s="521"/>
      <c r="E29" s="115"/>
      <c r="F29" s="118"/>
      <c r="G29" s="115"/>
      <c r="H29" s="177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>
      <c r="A30" s="110"/>
      <c r="B30" s="152"/>
      <c r="C30" s="115"/>
      <c r="D30" s="520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>
      <c r="A31" s="110"/>
      <c r="B31" s="152"/>
      <c r="C31" s="115"/>
      <c r="D31" s="520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>
      <c r="A32" s="110"/>
      <c r="B32" s="152"/>
      <c r="C32" s="115"/>
      <c r="D32" s="520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>
      <c r="A33" s="110"/>
      <c r="B33" s="152"/>
      <c r="C33" s="115"/>
      <c r="D33" s="520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>
      <c r="A34" s="110"/>
      <c r="B34" s="152"/>
      <c r="C34" s="115"/>
      <c r="D34" s="520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>
      <c r="A35" s="110"/>
      <c r="B35" s="152"/>
      <c r="C35" s="115"/>
      <c r="D35" s="520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>
      <c r="A36" s="110"/>
      <c r="B36" s="152"/>
      <c r="C36" s="115"/>
      <c r="D36" s="520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>
      <c r="A37" s="110"/>
      <c r="B37" s="152"/>
      <c r="C37" s="115"/>
      <c r="D37" s="521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0</v>
      </c>
      <c r="AA39" s="116"/>
      <c r="AB39" s="111"/>
    </row>
    <row r="40" spans="1:28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8"/>
      <c r="Z40" s="178"/>
      <c r="AA40" s="179"/>
      <c r="AB40" s="111"/>
    </row>
    <row r="41" spans="1:28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28"/>
    </row>
    <row r="43" spans="1:28" ht="13.5" thickTop="1"/>
    <row r="299" spans="2:24" ht="15" customHeight="1">
      <c r="B299" s="643" t="str">
        <f>J1</f>
        <v>עיריית בת-ים</v>
      </c>
      <c r="C299" s="643"/>
      <c r="D299" s="643"/>
      <c r="E299" s="643"/>
      <c r="F299" s="643"/>
      <c r="G299" s="643"/>
      <c r="H299" s="643"/>
      <c r="I299" s="643"/>
      <c r="J299" s="643"/>
      <c r="K299" s="643"/>
      <c r="L299" s="643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</row>
    <row r="300" spans="2:24" ht="12.75" customHeight="1">
      <c r="B300" s="643" t="str">
        <f>J2</f>
        <v>דוח בעלי השכר הגבוה</v>
      </c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</row>
    <row r="301" spans="2:24" ht="18">
      <c r="B301" s="643" t="str">
        <f>J3</f>
        <v>לתקופה: רבעון 1, שנת 2021</v>
      </c>
      <c r="C301" s="643"/>
      <c r="D301" s="643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</row>
    <row r="302" spans="2:24" ht="0.75" customHeight="1"/>
    <row r="303" spans="2:24" ht="6" customHeight="1"/>
    <row r="304" spans="2:24" ht="8.25" customHeight="1"/>
    <row r="305" spans="2:27" ht="3.75" customHeight="1">
      <c r="Y305" s="182">
        <f t="shared" ref="Y305:AA320" si="4">Y7</f>
        <v>0</v>
      </c>
      <c r="Z305" s="182">
        <f t="shared" si="4"/>
        <v>0</v>
      </c>
      <c r="AA305" s="131">
        <f t="shared" si="4"/>
        <v>0</v>
      </c>
    </row>
    <row r="306" spans="2:27" ht="38.25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2">
        <f t="shared" si="4"/>
        <v>0</v>
      </c>
      <c r="Z306" s="182" t="str">
        <f t="shared" si="4"/>
        <v/>
      </c>
      <c r="AA306" s="134">
        <f t="shared" si="4"/>
        <v>0</v>
      </c>
    </row>
    <row r="307" spans="2:27" s="488" customFormat="1">
      <c r="B307" s="142">
        <f t="shared" si="5"/>
        <v>0</v>
      </c>
      <c r="C307" s="133">
        <f t="shared" si="5"/>
        <v>0</v>
      </c>
      <c r="D307" s="183">
        <f t="shared" si="6"/>
        <v>0</v>
      </c>
      <c r="E307" s="133">
        <f t="shared" si="6"/>
        <v>0</v>
      </c>
      <c r="F307" s="183">
        <f t="shared" si="5"/>
        <v>0</v>
      </c>
      <c r="G307" s="133">
        <f t="shared" si="5"/>
        <v>0</v>
      </c>
      <c r="H307" s="183">
        <f t="shared" si="5"/>
        <v>0</v>
      </c>
      <c r="I307" s="133">
        <f t="shared" si="5"/>
        <v>0</v>
      </c>
      <c r="J307" s="183">
        <f t="shared" si="5"/>
        <v>0</v>
      </c>
      <c r="K307" s="133">
        <f t="shared" si="5"/>
        <v>0</v>
      </c>
      <c r="L307" s="183">
        <f t="shared" si="5"/>
        <v>0</v>
      </c>
      <c r="M307" s="133">
        <f t="shared" si="5"/>
        <v>0</v>
      </c>
      <c r="N307" s="183">
        <f t="shared" si="5"/>
        <v>0</v>
      </c>
      <c r="O307" s="133">
        <f t="shared" si="5"/>
        <v>0</v>
      </c>
      <c r="P307" s="183">
        <f t="shared" si="5"/>
        <v>0</v>
      </c>
      <c r="Q307" s="133">
        <f t="shared" si="5"/>
        <v>0</v>
      </c>
      <c r="R307" s="183">
        <f t="shared" si="5"/>
        <v>0</v>
      </c>
      <c r="S307" s="133">
        <f t="shared" si="5"/>
        <v>0</v>
      </c>
      <c r="T307" s="137">
        <f t="shared" si="5"/>
        <v>0</v>
      </c>
      <c r="U307" s="133">
        <f t="shared" si="5"/>
        <v>0</v>
      </c>
      <c r="V307" s="183">
        <f t="shared" si="5"/>
        <v>0</v>
      </c>
      <c r="W307" s="133">
        <f t="shared" si="5"/>
        <v>0</v>
      </c>
      <c r="X307" s="137">
        <f t="shared" si="5"/>
        <v>0</v>
      </c>
      <c r="Y307" s="182">
        <f t="shared" si="4"/>
        <v>0</v>
      </c>
      <c r="Z307" s="182" t="str">
        <f t="shared" si="4"/>
        <v/>
      </c>
      <c r="AA307" s="134">
        <f t="shared" si="4"/>
        <v>0</v>
      </c>
    </row>
    <row r="308" spans="2:27">
      <c r="B308" s="142">
        <f t="shared" si="5"/>
        <v>0</v>
      </c>
      <c r="C308" s="133">
        <f t="shared" si="5"/>
        <v>0</v>
      </c>
      <c r="D308" s="184">
        <f t="shared" si="6"/>
        <v>0</v>
      </c>
      <c r="E308" s="133">
        <f t="shared" si="6"/>
        <v>0</v>
      </c>
      <c r="F308" s="184">
        <f t="shared" si="5"/>
        <v>0</v>
      </c>
      <c r="G308" s="133">
        <f t="shared" si="5"/>
        <v>0</v>
      </c>
      <c r="H308" s="184">
        <f t="shared" si="5"/>
        <v>0</v>
      </c>
      <c r="I308" s="133">
        <f t="shared" si="5"/>
        <v>0</v>
      </c>
      <c r="J308" s="184">
        <f t="shared" si="5"/>
        <v>0</v>
      </c>
      <c r="K308" s="133">
        <f t="shared" si="5"/>
        <v>0</v>
      </c>
      <c r="L308" s="184">
        <f t="shared" si="5"/>
        <v>0</v>
      </c>
      <c r="M308" s="133">
        <f t="shared" si="5"/>
        <v>0</v>
      </c>
      <c r="N308" s="184">
        <f t="shared" si="5"/>
        <v>0</v>
      </c>
      <c r="O308" s="133">
        <f t="shared" si="5"/>
        <v>0</v>
      </c>
      <c r="P308" s="184">
        <f t="shared" si="5"/>
        <v>0</v>
      </c>
      <c r="Q308" s="133">
        <f t="shared" si="5"/>
        <v>0</v>
      </c>
      <c r="R308" s="184">
        <f t="shared" si="5"/>
        <v>0</v>
      </c>
      <c r="S308" s="133">
        <f t="shared" si="5"/>
        <v>0</v>
      </c>
      <c r="T308" s="140">
        <f t="shared" si="5"/>
        <v>0</v>
      </c>
      <c r="U308" s="133">
        <f t="shared" si="5"/>
        <v>0</v>
      </c>
      <c r="V308" s="184">
        <f t="shared" si="5"/>
        <v>0</v>
      </c>
      <c r="W308" s="133">
        <f t="shared" si="5"/>
        <v>0</v>
      </c>
      <c r="X308" s="140">
        <f t="shared" si="5"/>
        <v>0</v>
      </c>
      <c r="Y308" s="182">
        <f t="shared" si="4"/>
        <v>0</v>
      </c>
      <c r="Z308" s="182" t="str">
        <f t="shared" si="4"/>
        <v/>
      </c>
      <c r="AA308" s="134">
        <f t="shared" si="4"/>
        <v>0</v>
      </c>
    </row>
    <row r="309" spans="2:27">
      <c r="B309" s="142">
        <f t="shared" si="5"/>
        <v>0</v>
      </c>
      <c r="C309" s="133">
        <f t="shared" si="5"/>
        <v>0</v>
      </c>
      <c r="D309" s="184">
        <f t="shared" si="6"/>
        <v>0</v>
      </c>
      <c r="E309" s="133">
        <f t="shared" si="6"/>
        <v>0</v>
      </c>
      <c r="F309" s="184">
        <f t="shared" si="5"/>
        <v>0</v>
      </c>
      <c r="G309" s="133">
        <f t="shared" si="5"/>
        <v>0</v>
      </c>
      <c r="H309" s="184">
        <f t="shared" si="5"/>
        <v>0</v>
      </c>
      <c r="I309" s="133">
        <f t="shared" si="5"/>
        <v>0</v>
      </c>
      <c r="J309" s="184">
        <f t="shared" si="5"/>
        <v>0</v>
      </c>
      <c r="K309" s="133">
        <f t="shared" si="5"/>
        <v>0</v>
      </c>
      <c r="L309" s="184">
        <f t="shared" si="5"/>
        <v>0</v>
      </c>
      <c r="M309" s="133">
        <f t="shared" si="5"/>
        <v>0</v>
      </c>
      <c r="N309" s="184">
        <f t="shared" si="5"/>
        <v>0</v>
      </c>
      <c r="O309" s="133">
        <f t="shared" si="5"/>
        <v>0</v>
      </c>
      <c r="P309" s="184">
        <f t="shared" si="5"/>
        <v>0</v>
      </c>
      <c r="Q309" s="133">
        <f t="shared" si="5"/>
        <v>0</v>
      </c>
      <c r="R309" s="184">
        <f t="shared" si="5"/>
        <v>0</v>
      </c>
      <c r="S309" s="133">
        <f t="shared" si="5"/>
        <v>0</v>
      </c>
      <c r="T309" s="140">
        <f t="shared" si="5"/>
        <v>0</v>
      </c>
      <c r="U309" s="133">
        <f t="shared" si="5"/>
        <v>0</v>
      </c>
      <c r="V309" s="184">
        <f t="shared" si="5"/>
        <v>0</v>
      </c>
      <c r="W309" s="133">
        <f t="shared" si="5"/>
        <v>0</v>
      </c>
      <c r="X309" s="140">
        <f t="shared" si="5"/>
        <v>0</v>
      </c>
      <c r="Y309" s="182">
        <f t="shared" si="4"/>
        <v>0</v>
      </c>
      <c r="Z309" s="182" t="str">
        <f t="shared" si="4"/>
        <v/>
      </c>
      <c r="AA309" s="134">
        <f t="shared" si="4"/>
        <v>0</v>
      </c>
    </row>
    <row r="310" spans="2:27">
      <c r="B310" s="132">
        <f t="shared" si="5"/>
        <v>0</v>
      </c>
      <c r="C310" s="133">
        <f t="shared" si="5"/>
        <v>0</v>
      </c>
      <c r="D310" s="184">
        <f t="shared" si="6"/>
        <v>0</v>
      </c>
      <c r="E310" s="133">
        <f t="shared" si="6"/>
        <v>0</v>
      </c>
      <c r="F310" s="184">
        <f t="shared" si="5"/>
        <v>0</v>
      </c>
      <c r="G310" s="133">
        <f t="shared" si="5"/>
        <v>0</v>
      </c>
      <c r="H310" s="184">
        <f t="shared" si="5"/>
        <v>0</v>
      </c>
      <c r="I310" s="133">
        <f t="shared" si="5"/>
        <v>0</v>
      </c>
      <c r="J310" s="184">
        <f t="shared" si="5"/>
        <v>0</v>
      </c>
      <c r="K310" s="133">
        <f t="shared" si="5"/>
        <v>0</v>
      </c>
      <c r="L310" s="184">
        <f t="shared" si="5"/>
        <v>0</v>
      </c>
      <c r="M310" s="133">
        <f t="shared" si="5"/>
        <v>0</v>
      </c>
      <c r="N310" s="184">
        <f t="shared" si="5"/>
        <v>0</v>
      </c>
      <c r="O310" s="133">
        <f t="shared" si="5"/>
        <v>0</v>
      </c>
      <c r="P310" s="184">
        <f t="shared" si="5"/>
        <v>0</v>
      </c>
      <c r="Q310" s="133">
        <f t="shared" si="5"/>
        <v>0</v>
      </c>
      <c r="R310" s="184">
        <f t="shared" si="5"/>
        <v>0</v>
      </c>
      <c r="S310" s="133">
        <f t="shared" si="5"/>
        <v>0</v>
      </c>
      <c r="T310" s="140">
        <f t="shared" si="5"/>
        <v>0</v>
      </c>
      <c r="U310" s="133">
        <f t="shared" si="5"/>
        <v>0</v>
      </c>
      <c r="V310" s="184">
        <f t="shared" si="5"/>
        <v>0</v>
      </c>
      <c r="W310" s="133">
        <f t="shared" si="5"/>
        <v>0</v>
      </c>
      <c r="X310" s="140">
        <f t="shared" si="5"/>
        <v>0</v>
      </c>
      <c r="Y310" s="182">
        <f t="shared" si="4"/>
        <v>0</v>
      </c>
      <c r="Z310" s="182" t="str">
        <f t="shared" si="4"/>
        <v/>
      </c>
      <c r="AA310" s="134">
        <f t="shared" si="4"/>
        <v>0</v>
      </c>
    </row>
    <row r="311" spans="2:27">
      <c r="B311" s="132">
        <f t="shared" si="5"/>
        <v>0</v>
      </c>
      <c r="C311" s="133">
        <f t="shared" si="5"/>
        <v>0</v>
      </c>
      <c r="D311" s="184">
        <f t="shared" si="6"/>
        <v>0</v>
      </c>
      <c r="E311" s="133">
        <f t="shared" si="6"/>
        <v>0</v>
      </c>
      <c r="F311" s="184">
        <f t="shared" si="5"/>
        <v>0</v>
      </c>
      <c r="G311" s="133">
        <f t="shared" si="5"/>
        <v>0</v>
      </c>
      <c r="H311" s="184">
        <f t="shared" si="5"/>
        <v>0</v>
      </c>
      <c r="I311" s="133">
        <f t="shared" si="5"/>
        <v>0</v>
      </c>
      <c r="J311" s="184">
        <f t="shared" si="5"/>
        <v>0</v>
      </c>
      <c r="K311" s="133">
        <f t="shared" si="5"/>
        <v>0</v>
      </c>
      <c r="L311" s="184">
        <f t="shared" si="5"/>
        <v>0</v>
      </c>
      <c r="M311" s="133">
        <f t="shared" si="5"/>
        <v>0</v>
      </c>
      <c r="N311" s="184">
        <f t="shared" si="5"/>
        <v>0</v>
      </c>
      <c r="O311" s="133">
        <f t="shared" si="5"/>
        <v>0</v>
      </c>
      <c r="P311" s="184">
        <f t="shared" si="5"/>
        <v>0</v>
      </c>
      <c r="Q311" s="133">
        <f t="shared" si="5"/>
        <v>0</v>
      </c>
      <c r="R311" s="184">
        <f t="shared" si="5"/>
        <v>0</v>
      </c>
      <c r="S311" s="133">
        <f t="shared" si="5"/>
        <v>0</v>
      </c>
      <c r="T311" s="140">
        <f t="shared" si="5"/>
        <v>0</v>
      </c>
      <c r="U311" s="133">
        <f t="shared" si="5"/>
        <v>0</v>
      </c>
      <c r="V311" s="184">
        <f t="shared" si="5"/>
        <v>0</v>
      </c>
      <c r="W311" s="133">
        <f t="shared" si="5"/>
        <v>0</v>
      </c>
      <c r="X311" s="140">
        <f t="shared" si="5"/>
        <v>0</v>
      </c>
      <c r="Y311" s="182">
        <f t="shared" si="4"/>
        <v>0</v>
      </c>
      <c r="Z311" s="182" t="str">
        <f t="shared" si="4"/>
        <v/>
      </c>
      <c r="AA311" s="134">
        <f t="shared" si="4"/>
        <v>0</v>
      </c>
    </row>
    <row r="312" spans="2:27">
      <c r="B312" s="132">
        <f t="shared" si="5"/>
        <v>0</v>
      </c>
      <c r="C312" s="133">
        <f t="shared" si="5"/>
        <v>0</v>
      </c>
      <c r="D312" s="184">
        <f t="shared" si="6"/>
        <v>0</v>
      </c>
      <c r="E312" s="133">
        <f t="shared" si="6"/>
        <v>0</v>
      </c>
      <c r="F312" s="184">
        <f t="shared" si="5"/>
        <v>0</v>
      </c>
      <c r="G312" s="133">
        <f t="shared" si="5"/>
        <v>0</v>
      </c>
      <c r="H312" s="184">
        <f t="shared" si="5"/>
        <v>0</v>
      </c>
      <c r="I312" s="133">
        <f t="shared" si="5"/>
        <v>0</v>
      </c>
      <c r="J312" s="184">
        <f t="shared" si="5"/>
        <v>0</v>
      </c>
      <c r="K312" s="133">
        <f t="shared" si="5"/>
        <v>0</v>
      </c>
      <c r="L312" s="184">
        <f t="shared" si="5"/>
        <v>0</v>
      </c>
      <c r="M312" s="133">
        <f t="shared" si="5"/>
        <v>0</v>
      </c>
      <c r="N312" s="184">
        <f t="shared" si="5"/>
        <v>0</v>
      </c>
      <c r="O312" s="133">
        <f t="shared" si="5"/>
        <v>0</v>
      </c>
      <c r="P312" s="184">
        <f t="shared" si="5"/>
        <v>0</v>
      </c>
      <c r="Q312" s="133">
        <f t="shared" si="5"/>
        <v>0</v>
      </c>
      <c r="R312" s="184">
        <f t="shared" si="5"/>
        <v>0</v>
      </c>
      <c r="S312" s="133">
        <f t="shared" si="5"/>
        <v>0</v>
      </c>
      <c r="T312" s="140">
        <f t="shared" si="5"/>
        <v>0</v>
      </c>
      <c r="U312" s="133">
        <f t="shared" si="5"/>
        <v>0</v>
      </c>
      <c r="V312" s="184">
        <f t="shared" si="5"/>
        <v>0</v>
      </c>
      <c r="W312" s="133">
        <f t="shared" si="5"/>
        <v>0</v>
      </c>
      <c r="X312" s="140">
        <f t="shared" si="5"/>
        <v>0</v>
      </c>
      <c r="Y312" s="182">
        <f t="shared" si="4"/>
        <v>0</v>
      </c>
      <c r="Z312" s="182" t="str">
        <f t="shared" si="4"/>
        <v/>
      </c>
      <c r="AA312" s="134">
        <f t="shared" si="4"/>
        <v>0</v>
      </c>
    </row>
    <row r="313" spans="2:27">
      <c r="B313" s="132">
        <f t="shared" si="5"/>
        <v>0</v>
      </c>
      <c r="C313" s="133">
        <f t="shared" si="5"/>
        <v>0</v>
      </c>
      <c r="D313" s="184">
        <f t="shared" si="6"/>
        <v>0</v>
      </c>
      <c r="E313" s="133">
        <f t="shared" si="6"/>
        <v>0</v>
      </c>
      <c r="F313" s="184">
        <f t="shared" si="5"/>
        <v>0</v>
      </c>
      <c r="G313" s="133">
        <f t="shared" si="5"/>
        <v>0</v>
      </c>
      <c r="H313" s="184">
        <f t="shared" si="5"/>
        <v>0</v>
      </c>
      <c r="I313" s="133">
        <f t="shared" si="5"/>
        <v>0</v>
      </c>
      <c r="J313" s="184">
        <f t="shared" si="5"/>
        <v>0</v>
      </c>
      <c r="K313" s="133">
        <f t="shared" si="5"/>
        <v>0</v>
      </c>
      <c r="L313" s="184">
        <f t="shared" si="5"/>
        <v>0</v>
      </c>
      <c r="M313" s="133">
        <f t="shared" si="5"/>
        <v>0</v>
      </c>
      <c r="N313" s="184">
        <f t="shared" si="5"/>
        <v>0</v>
      </c>
      <c r="O313" s="133">
        <f t="shared" si="5"/>
        <v>0</v>
      </c>
      <c r="P313" s="184">
        <f t="shared" si="5"/>
        <v>0</v>
      </c>
      <c r="Q313" s="133">
        <f t="shared" si="5"/>
        <v>0</v>
      </c>
      <c r="R313" s="184">
        <f t="shared" si="5"/>
        <v>0</v>
      </c>
      <c r="S313" s="133">
        <f t="shared" si="5"/>
        <v>0</v>
      </c>
      <c r="T313" s="140">
        <f t="shared" si="5"/>
        <v>0</v>
      </c>
      <c r="U313" s="133">
        <f t="shared" si="5"/>
        <v>0</v>
      </c>
      <c r="V313" s="184">
        <f t="shared" si="5"/>
        <v>0</v>
      </c>
      <c r="W313" s="133">
        <f t="shared" si="5"/>
        <v>0</v>
      </c>
      <c r="X313" s="140">
        <f t="shared" si="5"/>
        <v>0</v>
      </c>
      <c r="Y313" s="182">
        <f t="shared" si="4"/>
        <v>0</v>
      </c>
      <c r="Z313" s="182" t="str">
        <f t="shared" si="4"/>
        <v/>
      </c>
      <c r="AA313" s="134">
        <f t="shared" si="4"/>
        <v>0</v>
      </c>
    </row>
    <row r="314" spans="2:27">
      <c r="B314" s="132">
        <f t="shared" si="5"/>
        <v>0</v>
      </c>
      <c r="C314" s="133">
        <f t="shared" si="5"/>
        <v>0</v>
      </c>
      <c r="D314" s="184">
        <f t="shared" si="6"/>
        <v>0</v>
      </c>
      <c r="E314" s="133">
        <f t="shared" si="6"/>
        <v>0</v>
      </c>
      <c r="F314" s="184">
        <f t="shared" si="5"/>
        <v>0</v>
      </c>
      <c r="G314" s="133">
        <f t="shared" si="5"/>
        <v>0</v>
      </c>
      <c r="H314" s="184">
        <f t="shared" si="5"/>
        <v>0</v>
      </c>
      <c r="I314" s="133">
        <f t="shared" si="5"/>
        <v>0</v>
      </c>
      <c r="J314" s="184">
        <f t="shared" si="5"/>
        <v>0</v>
      </c>
      <c r="K314" s="133">
        <f t="shared" si="5"/>
        <v>0</v>
      </c>
      <c r="L314" s="184">
        <f t="shared" si="5"/>
        <v>0</v>
      </c>
      <c r="M314" s="133">
        <f t="shared" si="5"/>
        <v>0</v>
      </c>
      <c r="N314" s="184">
        <f t="shared" si="5"/>
        <v>0</v>
      </c>
      <c r="O314" s="133">
        <f t="shared" si="5"/>
        <v>0</v>
      </c>
      <c r="P314" s="184">
        <f t="shared" si="5"/>
        <v>0</v>
      </c>
      <c r="Q314" s="133">
        <f t="shared" si="5"/>
        <v>0</v>
      </c>
      <c r="R314" s="184">
        <f t="shared" si="5"/>
        <v>0</v>
      </c>
      <c r="S314" s="133">
        <f t="shared" si="5"/>
        <v>0</v>
      </c>
      <c r="T314" s="140">
        <f t="shared" si="5"/>
        <v>0</v>
      </c>
      <c r="U314" s="133">
        <f t="shared" si="5"/>
        <v>0</v>
      </c>
      <c r="V314" s="184">
        <f t="shared" si="5"/>
        <v>0</v>
      </c>
      <c r="W314" s="133">
        <f t="shared" si="5"/>
        <v>0</v>
      </c>
      <c r="X314" s="140">
        <f t="shared" si="5"/>
        <v>0</v>
      </c>
      <c r="Y314" s="182">
        <f t="shared" si="4"/>
        <v>0</v>
      </c>
      <c r="Z314" s="182" t="str">
        <f t="shared" si="4"/>
        <v/>
      </c>
      <c r="AA314" s="134">
        <f t="shared" si="4"/>
        <v>0</v>
      </c>
    </row>
    <row r="315" spans="2:27">
      <c r="B315" s="132">
        <f t="shared" si="5"/>
        <v>0</v>
      </c>
      <c r="C315" s="133">
        <f t="shared" si="5"/>
        <v>0</v>
      </c>
      <c r="D315" s="184">
        <f t="shared" si="6"/>
        <v>0</v>
      </c>
      <c r="E315" s="133">
        <f t="shared" si="6"/>
        <v>0</v>
      </c>
      <c r="F315" s="184">
        <f t="shared" si="5"/>
        <v>0</v>
      </c>
      <c r="G315" s="133">
        <f t="shared" si="5"/>
        <v>0</v>
      </c>
      <c r="H315" s="184">
        <f t="shared" si="5"/>
        <v>0</v>
      </c>
      <c r="I315" s="133">
        <f t="shared" si="5"/>
        <v>0</v>
      </c>
      <c r="J315" s="184">
        <f t="shared" si="5"/>
        <v>0</v>
      </c>
      <c r="K315" s="133">
        <f t="shared" si="5"/>
        <v>0</v>
      </c>
      <c r="L315" s="184">
        <f t="shared" si="5"/>
        <v>0</v>
      </c>
      <c r="M315" s="133">
        <f t="shared" si="5"/>
        <v>0</v>
      </c>
      <c r="N315" s="184">
        <f t="shared" si="5"/>
        <v>0</v>
      </c>
      <c r="O315" s="133">
        <f t="shared" si="5"/>
        <v>0</v>
      </c>
      <c r="P315" s="184">
        <f t="shared" si="5"/>
        <v>0</v>
      </c>
      <c r="Q315" s="133">
        <f t="shared" si="5"/>
        <v>0</v>
      </c>
      <c r="R315" s="184">
        <f t="shared" si="5"/>
        <v>0</v>
      </c>
      <c r="S315" s="133">
        <f t="shared" si="5"/>
        <v>0</v>
      </c>
      <c r="T315" s="140">
        <f t="shared" si="5"/>
        <v>0</v>
      </c>
      <c r="U315" s="133">
        <f t="shared" si="5"/>
        <v>0</v>
      </c>
      <c r="V315" s="184">
        <f t="shared" si="5"/>
        <v>0</v>
      </c>
      <c r="W315" s="133">
        <f t="shared" si="5"/>
        <v>0</v>
      </c>
      <c r="X315" s="140">
        <f t="shared" si="5"/>
        <v>0</v>
      </c>
      <c r="Y315" s="182">
        <f t="shared" si="4"/>
        <v>0</v>
      </c>
      <c r="Z315" s="182" t="str">
        <f t="shared" si="4"/>
        <v/>
      </c>
      <c r="AA315" s="134">
        <f t="shared" si="4"/>
        <v>0</v>
      </c>
    </row>
    <row r="316" spans="2:27">
      <c r="B316" s="132">
        <f t="shared" si="5"/>
        <v>0</v>
      </c>
      <c r="C316" s="133">
        <f t="shared" si="5"/>
        <v>0</v>
      </c>
      <c r="D316" s="184">
        <f t="shared" si="6"/>
        <v>0</v>
      </c>
      <c r="E316" s="133">
        <f t="shared" si="6"/>
        <v>0</v>
      </c>
      <c r="F316" s="184">
        <f t="shared" si="5"/>
        <v>0</v>
      </c>
      <c r="G316" s="133">
        <f t="shared" si="5"/>
        <v>0</v>
      </c>
      <c r="H316" s="184">
        <f t="shared" si="5"/>
        <v>0</v>
      </c>
      <c r="I316" s="133">
        <f t="shared" si="5"/>
        <v>0</v>
      </c>
      <c r="J316" s="184">
        <f t="shared" si="5"/>
        <v>0</v>
      </c>
      <c r="K316" s="133">
        <f t="shared" si="5"/>
        <v>0</v>
      </c>
      <c r="L316" s="184">
        <f t="shared" si="5"/>
        <v>0</v>
      </c>
      <c r="M316" s="133">
        <f t="shared" si="5"/>
        <v>0</v>
      </c>
      <c r="N316" s="184">
        <f t="shared" si="5"/>
        <v>0</v>
      </c>
      <c r="O316" s="133">
        <f t="shared" si="5"/>
        <v>0</v>
      </c>
      <c r="P316" s="184">
        <f t="shared" si="5"/>
        <v>0</v>
      </c>
      <c r="Q316" s="133">
        <f t="shared" si="5"/>
        <v>0</v>
      </c>
      <c r="R316" s="184">
        <f t="shared" si="5"/>
        <v>0</v>
      </c>
      <c r="S316" s="133">
        <f t="shared" si="5"/>
        <v>0</v>
      </c>
      <c r="T316" s="140">
        <f t="shared" si="5"/>
        <v>0</v>
      </c>
      <c r="U316" s="133">
        <f t="shared" si="5"/>
        <v>0</v>
      </c>
      <c r="V316" s="184">
        <f t="shared" si="5"/>
        <v>0</v>
      </c>
      <c r="W316" s="133">
        <f t="shared" si="5"/>
        <v>0</v>
      </c>
      <c r="X316" s="140">
        <f t="shared" si="5"/>
        <v>0</v>
      </c>
      <c r="Y316" s="182">
        <f t="shared" si="4"/>
        <v>0</v>
      </c>
      <c r="Z316" s="182" t="str">
        <f t="shared" si="4"/>
        <v/>
      </c>
      <c r="AA316" s="134">
        <f t="shared" si="4"/>
        <v>0</v>
      </c>
    </row>
    <row r="317" spans="2:27">
      <c r="B317" s="132">
        <f t="shared" si="5"/>
        <v>0</v>
      </c>
      <c r="C317" s="133">
        <f t="shared" si="5"/>
        <v>0</v>
      </c>
      <c r="D317" s="184">
        <f t="shared" si="6"/>
        <v>0</v>
      </c>
      <c r="E317" s="133">
        <f t="shared" si="6"/>
        <v>0</v>
      </c>
      <c r="F317" s="184">
        <f t="shared" si="5"/>
        <v>0</v>
      </c>
      <c r="G317" s="133">
        <f t="shared" si="5"/>
        <v>0</v>
      </c>
      <c r="H317" s="184">
        <f t="shared" si="5"/>
        <v>0</v>
      </c>
      <c r="I317" s="133">
        <f t="shared" si="5"/>
        <v>0</v>
      </c>
      <c r="J317" s="184">
        <f t="shared" si="5"/>
        <v>0</v>
      </c>
      <c r="K317" s="133">
        <f t="shared" si="5"/>
        <v>0</v>
      </c>
      <c r="L317" s="184">
        <f t="shared" si="5"/>
        <v>0</v>
      </c>
      <c r="M317" s="133">
        <f t="shared" si="5"/>
        <v>0</v>
      </c>
      <c r="N317" s="184">
        <f t="shared" si="5"/>
        <v>0</v>
      </c>
      <c r="O317" s="133">
        <f t="shared" si="5"/>
        <v>0</v>
      </c>
      <c r="P317" s="184">
        <f t="shared" si="5"/>
        <v>0</v>
      </c>
      <c r="Q317" s="133">
        <f t="shared" si="5"/>
        <v>0</v>
      </c>
      <c r="R317" s="184">
        <f t="shared" si="5"/>
        <v>0</v>
      </c>
      <c r="S317" s="133">
        <f t="shared" si="5"/>
        <v>0</v>
      </c>
      <c r="T317" s="140">
        <f t="shared" si="5"/>
        <v>0</v>
      </c>
      <c r="U317" s="133">
        <f t="shared" si="5"/>
        <v>0</v>
      </c>
      <c r="V317" s="184">
        <f t="shared" si="5"/>
        <v>0</v>
      </c>
      <c r="W317" s="133">
        <f t="shared" si="5"/>
        <v>0</v>
      </c>
      <c r="X317" s="140">
        <f t="shared" si="5"/>
        <v>0</v>
      </c>
      <c r="Y317" s="182">
        <f t="shared" si="4"/>
        <v>0</v>
      </c>
      <c r="Z317" s="182" t="str">
        <f t="shared" si="4"/>
        <v/>
      </c>
      <c r="AA317" s="134">
        <f t="shared" si="4"/>
        <v>0</v>
      </c>
    </row>
    <row r="318" spans="2:27">
      <c r="B318" s="132">
        <f t="shared" si="5"/>
        <v>0</v>
      </c>
      <c r="C318" s="133">
        <f t="shared" si="5"/>
        <v>0</v>
      </c>
      <c r="D318" s="184">
        <f t="shared" ref="D318:E330" si="7">D19</f>
        <v>0</v>
      </c>
      <c r="E318" s="133">
        <f t="shared" si="7"/>
        <v>0</v>
      </c>
      <c r="F318" s="184">
        <f t="shared" si="5"/>
        <v>0</v>
      </c>
      <c r="G318" s="133">
        <f t="shared" ref="G318:X318" si="8">G19</f>
        <v>0</v>
      </c>
      <c r="H318" s="184">
        <f t="shared" si="8"/>
        <v>0</v>
      </c>
      <c r="I318" s="133">
        <f t="shared" si="8"/>
        <v>0</v>
      </c>
      <c r="J318" s="184">
        <f t="shared" si="8"/>
        <v>0</v>
      </c>
      <c r="K318" s="133">
        <f t="shared" si="8"/>
        <v>0</v>
      </c>
      <c r="L318" s="184">
        <f t="shared" si="8"/>
        <v>0</v>
      </c>
      <c r="M318" s="133">
        <f t="shared" si="8"/>
        <v>0</v>
      </c>
      <c r="N318" s="184">
        <f t="shared" si="8"/>
        <v>0</v>
      </c>
      <c r="O318" s="133">
        <f t="shared" si="8"/>
        <v>0</v>
      </c>
      <c r="P318" s="184">
        <f t="shared" si="8"/>
        <v>0</v>
      </c>
      <c r="Q318" s="133">
        <f t="shared" si="8"/>
        <v>0</v>
      </c>
      <c r="R318" s="184">
        <f t="shared" si="8"/>
        <v>0</v>
      </c>
      <c r="S318" s="133">
        <f t="shared" si="8"/>
        <v>0</v>
      </c>
      <c r="T318" s="140">
        <f t="shared" si="8"/>
        <v>0</v>
      </c>
      <c r="U318" s="133">
        <f t="shared" si="8"/>
        <v>0</v>
      </c>
      <c r="V318" s="184">
        <f t="shared" si="8"/>
        <v>0</v>
      </c>
      <c r="W318" s="133">
        <f t="shared" si="8"/>
        <v>0</v>
      </c>
      <c r="X318" s="140">
        <f t="shared" si="8"/>
        <v>0</v>
      </c>
      <c r="Y318" s="182">
        <f t="shared" si="4"/>
        <v>0</v>
      </c>
      <c r="Z318" s="182" t="str">
        <f t="shared" si="4"/>
        <v/>
      </c>
      <c r="AA318" s="134">
        <f t="shared" si="4"/>
        <v>0</v>
      </c>
    </row>
    <row r="319" spans="2:27">
      <c r="B319" s="132">
        <f t="shared" ref="B319:X331" si="9">B20</f>
        <v>0</v>
      </c>
      <c r="C319" s="133">
        <f t="shared" si="9"/>
        <v>0</v>
      </c>
      <c r="D319" s="184">
        <f t="shared" si="7"/>
        <v>0</v>
      </c>
      <c r="E319" s="133">
        <f t="shared" si="7"/>
        <v>0</v>
      </c>
      <c r="F319" s="184">
        <f t="shared" si="9"/>
        <v>0</v>
      </c>
      <c r="G319" s="133">
        <f t="shared" si="9"/>
        <v>0</v>
      </c>
      <c r="H319" s="184">
        <f t="shared" si="9"/>
        <v>0</v>
      </c>
      <c r="I319" s="133">
        <f t="shared" si="9"/>
        <v>0</v>
      </c>
      <c r="J319" s="184">
        <f t="shared" si="9"/>
        <v>0</v>
      </c>
      <c r="K319" s="133">
        <f t="shared" si="9"/>
        <v>0</v>
      </c>
      <c r="L319" s="184">
        <f t="shared" si="9"/>
        <v>0</v>
      </c>
      <c r="M319" s="133">
        <f t="shared" si="9"/>
        <v>0</v>
      </c>
      <c r="N319" s="184">
        <f t="shared" si="9"/>
        <v>0</v>
      </c>
      <c r="O319" s="133">
        <f t="shared" si="9"/>
        <v>0</v>
      </c>
      <c r="P319" s="184">
        <f t="shared" si="9"/>
        <v>0</v>
      </c>
      <c r="Q319" s="133">
        <f t="shared" si="9"/>
        <v>0</v>
      </c>
      <c r="R319" s="184">
        <f t="shared" si="9"/>
        <v>0</v>
      </c>
      <c r="S319" s="133">
        <f t="shared" si="9"/>
        <v>0</v>
      </c>
      <c r="T319" s="140">
        <f t="shared" si="9"/>
        <v>0</v>
      </c>
      <c r="U319" s="133">
        <f t="shared" si="9"/>
        <v>0</v>
      </c>
      <c r="V319" s="184">
        <f t="shared" si="9"/>
        <v>0</v>
      </c>
      <c r="W319" s="133">
        <f t="shared" si="9"/>
        <v>0</v>
      </c>
      <c r="X319" s="140">
        <f t="shared" si="9"/>
        <v>0</v>
      </c>
      <c r="Y319" s="182">
        <f t="shared" si="4"/>
        <v>0</v>
      </c>
      <c r="Z319" s="182" t="str">
        <f t="shared" si="4"/>
        <v/>
      </c>
      <c r="AA319" s="134">
        <f t="shared" si="4"/>
        <v>0</v>
      </c>
    </row>
    <row r="320" spans="2:27">
      <c r="B320" s="132">
        <f t="shared" si="9"/>
        <v>0</v>
      </c>
      <c r="C320" s="133">
        <f t="shared" si="9"/>
        <v>0</v>
      </c>
      <c r="D320" s="184">
        <f t="shared" si="7"/>
        <v>0</v>
      </c>
      <c r="E320" s="133">
        <f t="shared" si="7"/>
        <v>0</v>
      </c>
      <c r="F320" s="184">
        <f t="shared" si="9"/>
        <v>0</v>
      </c>
      <c r="G320" s="133">
        <f t="shared" si="9"/>
        <v>0</v>
      </c>
      <c r="H320" s="184">
        <f t="shared" si="9"/>
        <v>0</v>
      </c>
      <c r="I320" s="133">
        <f t="shared" si="9"/>
        <v>0</v>
      </c>
      <c r="J320" s="184">
        <f t="shared" si="9"/>
        <v>0</v>
      </c>
      <c r="K320" s="133">
        <f t="shared" si="9"/>
        <v>0</v>
      </c>
      <c r="L320" s="184">
        <f t="shared" si="9"/>
        <v>0</v>
      </c>
      <c r="M320" s="133">
        <f t="shared" si="9"/>
        <v>0</v>
      </c>
      <c r="N320" s="184">
        <f t="shared" si="9"/>
        <v>0</v>
      </c>
      <c r="O320" s="133">
        <f t="shared" si="9"/>
        <v>0</v>
      </c>
      <c r="P320" s="184">
        <f t="shared" si="9"/>
        <v>0</v>
      </c>
      <c r="Q320" s="133">
        <f t="shared" si="9"/>
        <v>0</v>
      </c>
      <c r="R320" s="184">
        <f t="shared" si="9"/>
        <v>0</v>
      </c>
      <c r="S320" s="133">
        <f t="shared" si="9"/>
        <v>0</v>
      </c>
      <c r="T320" s="140">
        <f t="shared" si="9"/>
        <v>0</v>
      </c>
      <c r="U320" s="133">
        <f t="shared" si="9"/>
        <v>0</v>
      </c>
      <c r="V320" s="184">
        <f t="shared" si="9"/>
        <v>0</v>
      </c>
      <c r="W320" s="133">
        <f t="shared" si="9"/>
        <v>0</v>
      </c>
      <c r="X320" s="140">
        <f t="shared" si="9"/>
        <v>0</v>
      </c>
      <c r="Y320" s="182">
        <f t="shared" si="4"/>
        <v>0</v>
      </c>
      <c r="Z320" s="182" t="str">
        <f t="shared" si="4"/>
        <v/>
      </c>
      <c r="AA320" s="134">
        <f t="shared" si="4"/>
        <v>0</v>
      </c>
    </row>
    <row r="321" spans="2:27">
      <c r="B321" s="132">
        <f t="shared" si="9"/>
        <v>0</v>
      </c>
      <c r="C321" s="133">
        <f t="shared" si="9"/>
        <v>0</v>
      </c>
      <c r="D321" s="184">
        <f t="shared" si="7"/>
        <v>0</v>
      </c>
      <c r="E321" s="133">
        <f t="shared" si="7"/>
        <v>0</v>
      </c>
      <c r="F321" s="184">
        <f t="shared" si="9"/>
        <v>0</v>
      </c>
      <c r="G321" s="133">
        <f t="shared" si="9"/>
        <v>0</v>
      </c>
      <c r="H321" s="184">
        <f t="shared" si="9"/>
        <v>0</v>
      </c>
      <c r="I321" s="133">
        <f t="shared" si="9"/>
        <v>0</v>
      </c>
      <c r="J321" s="184">
        <f t="shared" si="9"/>
        <v>0</v>
      </c>
      <c r="K321" s="133">
        <f t="shared" si="9"/>
        <v>0</v>
      </c>
      <c r="L321" s="184">
        <f t="shared" si="9"/>
        <v>0</v>
      </c>
      <c r="M321" s="133">
        <f t="shared" si="9"/>
        <v>0</v>
      </c>
      <c r="N321" s="184">
        <f t="shared" si="9"/>
        <v>0</v>
      </c>
      <c r="O321" s="133">
        <f t="shared" si="9"/>
        <v>0</v>
      </c>
      <c r="P321" s="184">
        <f t="shared" si="9"/>
        <v>0</v>
      </c>
      <c r="Q321" s="133">
        <f t="shared" si="9"/>
        <v>0</v>
      </c>
      <c r="R321" s="184">
        <f t="shared" si="9"/>
        <v>0</v>
      </c>
      <c r="S321" s="133">
        <f t="shared" si="9"/>
        <v>0</v>
      </c>
      <c r="T321" s="140">
        <f t="shared" si="9"/>
        <v>0</v>
      </c>
      <c r="U321" s="133">
        <f t="shared" si="9"/>
        <v>0</v>
      </c>
      <c r="V321" s="184">
        <f t="shared" si="9"/>
        <v>0</v>
      </c>
      <c r="W321" s="133">
        <f t="shared" si="9"/>
        <v>0</v>
      </c>
      <c r="X321" s="140">
        <f t="shared" si="9"/>
        <v>0</v>
      </c>
      <c r="Y321" s="182">
        <f t="shared" ref="Y321:AA336" si="10">Y23</f>
        <v>0</v>
      </c>
      <c r="Z321" s="182" t="str">
        <f t="shared" si="10"/>
        <v/>
      </c>
      <c r="AA321" s="134">
        <f t="shared" si="10"/>
        <v>0</v>
      </c>
    </row>
    <row r="322" spans="2:27">
      <c r="B322" s="132">
        <f t="shared" si="9"/>
        <v>0</v>
      </c>
      <c r="C322" s="133">
        <f t="shared" si="9"/>
        <v>0</v>
      </c>
      <c r="D322" s="184">
        <f t="shared" si="7"/>
        <v>0</v>
      </c>
      <c r="E322" s="133">
        <f t="shared" si="7"/>
        <v>0</v>
      </c>
      <c r="F322" s="184">
        <f t="shared" si="9"/>
        <v>0</v>
      </c>
      <c r="G322" s="133">
        <f t="shared" si="9"/>
        <v>0</v>
      </c>
      <c r="H322" s="184">
        <f t="shared" si="9"/>
        <v>0</v>
      </c>
      <c r="I322" s="133">
        <f t="shared" si="9"/>
        <v>0</v>
      </c>
      <c r="J322" s="184">
        <f t="shared" si="9"/>
        <v>0</v>
      </c>
      <c r="K322" s="133">
        <f t="shared" si="9"/>
        <v>0</v>
      </c>
      <c r="L322" s="184">
        <f t="shared" si="9"/>
        <v>0</v>
      </c>
      <c r="M322" s="133">
        <f t="shared" si="9"/>
        <v>0</v>
      </c>
      <c r="N322" s="184">
        <f t="shared" si="9"/>
        <v>0</v>
      </c>
      <c r="O322" s="133">
        <f t="shared" si="9"/>
        <v>0</v>
      </c>
      <c r="P322" s="184">
        <f t="shared" si="9"/>
        <v>0</v>
      </c>
      <c r="Q322" s="133">
        <f t="shared" si="9"/>
        <v>0</v>
      </c>
      <c r="R322" s="184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4">
        <f t="shared" si="9"/>
        <v>0</v>
      </c>
      <c r="W322" s="133">
        <f t="shared" si="9"/>
        <v>0</v>
      </c>
      <c r="X322" s="140">
        <f t="shared" si="9"/>
        <v>0</v>
      </c>
      <c r="Y322" s="182">
        <f t="shared" si="10"/>
        <v>0</v>
      </c>
      <c r="Z322" s="182" t="str">
        <f t="shared" si="10"/>
        <v/>
      </c>
      <c r="AA322" s="134">
        <f t="shared" si="10"/>
        <v>0</v>
      </c>
    </row>
    <row r="323" spans="2:27">
      <c r="B323" s="132">
        <f t="shared" si="9"/>
        <v>0</v>
      </c>
      <c r="C323" s="133">
        <f t="shared" si="9"/>
        <v>0</v>
      </c>
      <c r="D323" s="184">
        <f t="shared" si="7"/>
        <v>0</v>
      </c>
      <c r="E323" s="133">
        <f t="shared" si="7"/>
        <v>0</v>
      </c>
      <c r="F323" s="184">
        <f t="shared" si="9"/>
        <v>0</v>
      </c>
      <c r="G323" s="133">
        <f t="shared" si="9"/>
        <v>0</v>
      </c>
      <c r="H323" s="184">
        <f t="shared" si="9"/>
        <v>0</v>
      </c>
      <c r="I323" s="133">
        <f t="shared" si="9"/>
        <v>0</v>
      </c>
      <c r="J323" s="184">
        <f t="shared" si="9"/>
        <v>0</v>
      </c>
      <c r="K323" s="133">
        <f t="shared" si="9"/>
        <v>0</v>
      </c>
      <c r="L323" s="184">
        <f t="shared" si="9"/>
        <v>0</v>
      </c>
      <c r="M323" s="133">
        <f t="shared" si="9"/>
        <v>0</v>
      </c>
      <c r="N323" s="184">
        <f t="shared" si="9"/>
        <v>0</v>
      </c>
      <c r="O323" s="133">
        <f t="shared" si="9"/>
        <v>0</v>
      </c>
      <c r="P323" s="184">
        <f t="shared" si="9"/>
        <v>0</v>
      </c>
      <c r="Q323" s="133">
        <f t="shared" si="9"/>
        <v>0</v>
      </c>
      <c r="R323" s="184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4">
        <f t="shared" si="9"/>
        <v>0</v>
      </c>
      <c r="W323" s="133">
        <f t="shared" si="9"/>
        <v>0</v>
      </c>
      <c r="X323" s="140">
        <f t="shared" si="9"/>
        <v>0</v>
      </c>
      <c r="Y323" s="182">
        <f t="shared" si="10"/>
        <v>0</v>
      </c>
      <c r="Z323" s="182" t="str">
        <f t="shared" si="10"/>
        <v/>
      </c>
      <c r="AA323" s="134">
        <f t="shared" si="10"/>
        <v>0</v>
      </c>
    </row>
    <row r="324" spans="2:27">
      <c r="B324" s="132">
        <f t="shared" si="9"/>
        <v>0</v>
      </c>
      <c r="C324" s="133">
        <f t="shared" si="9"/>
        <v>0</v>
      </c>
      <c r="D324" s="184">
        <f t="shared" si="7"/>
        <v>0</v>
      </c>
      <c r="E324" s="133">
        <f t="shared" si="7"/>
        <v>0</v>
      </c>
      <c r="F324" s="184">
        <f t="shared" si="9"/>
        <v>0</v>
      </c>
      <c r="G324" s="133">
        <f t="shared" si="9"/>
        <v>0</v>
      </c>
      <c r="H324" s="184">
        <f t="shared" si="9"/>
        <v>0</v>
      </c>
      <c r="I324" s="133">
        <f t="shared" si="9"/>
        <v>0</v>
      </c>
      <c r="J324" s="184">
        <f t="shared" si="9"/>
        <v>0</v>
      </c>
      <c r="K324" s="133">
        <f t="shared" si="9"/>
        <v>0</v>
      </c>
      <c r="L324" s="184">
        <f t="shared" si="9"/>
        <v>0</v>
      </c>
      <c r="M324" s="133">
        <f t="shared" si="9"/>
        <v>0</v>
      </c>
      <c r="N324" s="184">
        <f t="shared" si="9"/>
        <v>0</v>
      </c>
      <c r="O324" s="133">
        <f t="shared" si="9"/>
        <v>0</v>
      </c>
      <c r="P324" s="184">
        <f t="shared" si="9"/>
        <v>0</v>
      </c>
      <c r="Q324" s="133">
        <f t="shared" si="9"/>
        <v>0</v>
      </c>
      <c r="R324" s="184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4">
        <f t="shared" si="9"/>
        <v>0</v>
      </c>
      <c r="W324" s="133">
        <f t="shared" si="9"/>
        <v>0</v>
      </c>
      <c r="X324" s="140">
        <f t="shared" si="9"/>
        <v>0</v>
      </c>
      <c r="Y324" s="182">
        <f t="shared" si="10"/>
        <v>0</v>
      </c>
      <c r="Z324" s="182" t="str">
        <f t="shared" si="10"/>
        <v/>
      </c>
      <c r="AA324" s="134">
        <f t="shared" si="10"/>
        <v>0</v>
      </c>
    </row>
    <row r="325" spans="2:27">
      <c r="B325" s="132">
        <f t="shared" si="9"/>
        <v>0</v>
      </c>
      <c r="C325" s="133">
        <f t="shared" si="9"/>
        <v>0</v>
      </c>
      <c r="D325" s="184">
        <f t="shared" si="7"/>
        <v>0</v>
      </c>
      <c r="E325" s="133">
        <f t="shared" si="7"/>
        <v>0</v>
      </c>
      <c r="F325" s="184">
        <f t="shared" si="9"/>
        <v>0</v>
      </c>
      <c r="G325" s="133">
        <f t="shared" si="9"/>
        <v>0</v>
      </c>
      <c r="H325" s="184">
        <f t="shared" si="9"/>
        <v>0</v>
      </c>
      <c r="I325" s="133">
        <f t="shared" si="9"/>
        <v>0</v>
      </c>
      <c r="J325" s="184">
        <f t="shared" si="9"/>
        <v>0</v>
      </c>
      <c r="K325" s="133">
        <f t="shared" si="9"/>
        <v>0</v>
      </c>
      <c r="L325" s="184">
        <f t="shared" si="9"/>
        <v>0</v>
      </c>
      <c r="M325" s="133">
        <f t="shared" si="9"/>
        <v>0</v>
      </c>
      <c r="N325" s="184">
        <f t="shared" si="9"/>
        <v>0</v>
      </c>
      <c r="O325" s="133">
        <f t="shared" si="9"/>
        <v>0</v>
      </c>
      <c r="P325" s="184">
        <f t="shared" si="9"/>
        <v>0</v>
      </c>
      <c r="Q325" s="133">
        <f t="shared" si="9"/>
        <v>0</v>
      </c>
      <c r="R325" s="184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4">
        <f t="shared" si="9"/>
        <v>0</v>
      </c>
      <c r="W325" s="133">
        <f t="shared" si="9"/>
        <v>0</v>
      </c>
      <c r="X325" s="140">
        <f t="shared" si="9"/>
        <v>0</v>
      </c>
      <c r="Y325" s="182">
        <f t="shared" si="10"/>
        <v>0</v>
      </c>
      <c r="Z325" s="182" t="str">
        <f t="shared" si="10"/>
        <v/>
      </c>
      <c r="AA325" s="134">
        <f t="shared" si="10"/>
        <v>0</v>
      </c>
    </row>
    <row r="326" spans="2:27">
      <c r="B326" s="132">
        <f t="shared" si="9"/>
        <v>0</v>
      </c>
      <c r="C326" s="133">
        <f t="shared" si="9"/>
        <v>0</v>
      </c>
      <c r="D326" s="184">
        <f t="shared" si="7"/>
        <v>0</v>
      </c>
      <c r="E326" s="133">
        <f t="shared" si="7"/>
        <v>0</v>
      </c>
      <c r="F326" s="184">
        <f t="shared" si="9"/>
        <v>0</v>
      </c>
      <c r="G326" s="133">
        <f t="shared" si="9"/>
        <v>0</v>
      </c>
      <c r="H326" s="184">
        <f t="shared" si="9"/>
        <v>0</v>
      </c>
      <c r="I326" s="133">
        <f t="shared" si="9"/>
        <v>0</v>
      </c>
      <c r="J326" s="184">
        <f t="shared" si="9"/>
        <v>0</v>
      </c>
      <c r="K326" s="133">
        <f t="shared" si="9"/>
        <v>0</v>
      </c>
      <c r="L326" s="184">
        <f t="shared" si="9"/>
        <v>0</v>
      </c>
      <c r="M326" s="133">
        <f t="shared" si="9"/>
        <v>0</v>
      </c>
      <c r="N326" s="184">
        <f t="shared" si="9"/>
        <v>0</v>
      </c>
      <c r="O326" s="133">
        <f t="shared" si="9"/>
        <v>0</v>
      </c>
      <c r="P326" s="184">
        <f t="shared" si="9"/>
        <v>0</v>
      </c>
      <c r="Q326" s="133">
        <f t="shared" si="9"/>
        <v>0</v>
      </c>
      <c r="R326" s="184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4">
        <f t="shared" si="9"/>
        <v>0</v>
      </c>
      <c r="W326" s="133">
        <f t="shared" si="9"/>
        <v>0</v>
      </c>
      <c r="X326" s="140">
        <f t="shared" si="9"/>
        <v>0</v>
      </c>
      <c r="Y326" s="182">
        <f t="shared" si="10"/>
        <v>0</v>
      </c>
      <c r="Z326" s="182" t="str">
        <f t="shared" si="10"/>
        <v/>
      </c>
      <c r="AA326" s="134">
        <f t="shared" si="10"/>
        <v>0</v>
      </c>
    </row>
    <row r="327" spans="2:27">
      <c r="B327" s="132">
        <f t="shared" si="9"/>
        <v>0</v>
      </c>
      <c r="C327" s="133">
        <f t="shared" si="9"/>
        <v>0</v>
      </c>
      <c r="D327" s="184">
        <f t="shared" si="7"/>
        <v>0</v>
      </c>
      <c r="E327" s="133">
        <f t="shared" si="7"/>
        <v>0</v>
      </c>
      <c r="F327" s="184">
        <f t="shared" si="9"/>
        <v>0</v>
      </c>
      <c r="G327" s="133">
        <f t="shared" si="9"/>
        <v>0</v>
      </c>
      <c r="H327" s="184">
        <f t="shared" si="9"/>
        <v>0</v>
      </c>
      <c r="I327" s="133">
        <f t="shared" si="9"/>
        <v>0</v>
      </c>
      <c r="J327" s="184">
        <f t="shared" si="9"/>
        <v>0</v>
      </c>
      <c r="K327" s="133">
        <f t="shared" si="9"/>
        <v>0</v>
      </c>
      <c r="L327" s="184">
        <f t="shared" si="9"/>
        <v>0</v>
      </c>
      <c r="M327" s="133">
        <f t="shared" si="9"/>
        <v>0</v>
      </c>
      <c r="N327" s="184">
        <f t="shared" si="9"/>
        <v>0</v>
      </c>
      <c r="O327" s="133">
        <f t="shared" si="9"/>
        <v>0</v>
      </c>
      <c r="P327" s="184">
        <f t="shared" si="9"/>
        <v>0</v>
      </c>
      <c r="Q327" s="133">
        <f t="shared" si="9"/>
        <v>0</v>
      </c>
      <c r="R327" s="184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4">
        <f t="shared" si="9"/>
        <v>0</v>
      </c>
      <c r="W327" s="133">
        <f t="shared" si="9"/>
        <v>0</v>
      </c>
      <c r="X327" s="140">
        <f t="shared" si="9"/>
        <v>0</v>
      </c>
      <c r="Y327" s="182">
        <f t="shared" si="10"/>
        <v>0</v>
      </c>
      <c r="Z327" s="182" t="str">
        <f t="shared" si="10"/>
        <v/>
      </c>
      <c r="AA327" s="134">
        <f t="shared" si="10"/>
        <v>0</v>
      </c>
    </row>
    <row r="328" spans="2:27">
      <c r="B328" s="132">
        <f t="shared" si="9"/>
        <v>0</v>
      </c>
      <c r="C328" s="133">
        <f t="shared" si="9"/>
        <v>0</v>
      </c>
      <c r="D328" s="184">
        <f t="shared" si="7"/>
        <v>0</v>
      </c>
      <c r="E328" s="133">
        <f t="shared" si="7"/>
        <v>0</v>
      </c>
      <c r="F328" s="184">
        <f t="shared" si="9"/>
        <v>0</v>
      </c>
      <c r="G328" s="133">
        <f t="shared" si="9"/>
        <v>0</v>
      </c>
      <c r="H328" s="184">
        <f t="shared" si="9"/>
        <v>0</v>
      </c>
      <c r="I328" s="133">
        <f t="shared" si="9"/>
        <v>0</v>
      </c>
      <c r="J328" s="184">
        <f t="shared" si="9"/>
        <v>0</v>
      </c>
      <c r="K328" s="133">
        <f t="shared" si="9"/>
        <v>0</v>
      </c>
      <c r="L328" s="184">
        <f t="shared" si="9"/>
        <v>0</v>
      </c>
      <c r="M328" s="133">
        <f t="shared" si="9"/>
        <v>0</v>
      </c>
      <c r="N328" s="184">
        <f t="shared" si="9"/>
        <v>0</v>
      </c>
      <c r="O328" s="133">
        <f t="shared" si="9"/>
        <v>0</v>
      </c>
      <c r="P328" s="184">
        <f t="shared" si="9"/>
        <v>0</v>
      </c>
      <c r="Q328" s="133">
        <f t="shared" si="9"/>
        <v>0</v>
      </c>
      <c r="R328" s="184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4">
        <f t="shared" si="9"/>
        <v>0</v>
      </c>
      <c r="W328" s="133">
        <f t="shared" si="9"/>
        <v>0</v>
      </c>
      <c r="X328" s="140">
        <f t="shared" si="9"/>
        <v>0</v>
      </c>
      <c r="Y328" s="182">
        <f t="shared" si="10"/>
        <v>0</v>
      </c>
      <c r="Z328" s="182" t="str">
        <f t="shared" si="10"/>
        <v/>
      </c>
      <c r="AA328" s="134">
        <f t="shared" si="10"/>
        <v>0</v>
      </c>
    </row>
    <row r="329" spans="2:27">
      <c r="B329" s="132">
        <f t="shared" si="9"/>
        <v>0</v>
      </c>
      <c r="C329" s="133">
        <f t="shared" si="9"/>
        <v>0</v>
      </c>
      <c r="D329" s="184">
        <f t="shared" si="7"/>
        <v>0</v>
      </c>
      <c r="E329" s="133">
        <f t="shared" si="7"/>
        <v>0</v>
      </c>
      <c r="F329" s="184">
        <f t="shared" si="9"/>
        <v>0</v>
      </c>
      <c r="G329" s="133">
        <f t="shared" si="9"/>
        <v>0</v>
      </c>
      <c r="H329" s="184">
        <f t="shared" si="9"/>
        <v>0</v>
      </c>
      <c r="I329" s="133">
        <f t="shared" si="9"/>
        <v>0</v>
      </c>
      <c r="J329" s="184">
        <f t="shared" si="9"/>
        <v>0</v>
      </c>
      <c r="K329" s="133">
        <f t="shared" si="9"/>
        <v>0</v>
      </c>
      <c r="L329" s="184">
        <f t="shared" si="9"/>
        <v>0</v>
      </c>
      <c r="M329" s="133">
        <f t="shared" si="9"/>
        <v>0</v>
      </c>
      <c r="N329" s="184">
        <f t="shared" si="9"/>
        <v>0</v>
      </c>
      <c r="O329" s="133">
        <f t="shared" si="9"/>
        <v>0</v>
      </c>
      <c r="P329" s="184">
        <f t="shared" si="9"/>
        <v>0</v>
      </c>
      <c r="Q329" s="133">
        <f t="shared" si="9"/>
        <v>0</v>
      </c>
      <c r="R329" s="184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4">
        <f t="shared" si="9"/>
        <v>0</v>
      </c>
      <c r="W329" s="133">
        <f t="shared" si="9"/>
        <v>0</v>
      </c>
      <c r="X329" s="140">
        <f t="shared" si="9"/>
        <v>0</v>
      </c>
      <c r="Y329" s="182">
        <f t="shared" si="10"/>
        <v>0</v>
      </c>
      <c r="Z329" s="182" t="str">
        <f t="shared" si="10"/>
        <v/>
      </c>
      <c r="AA329" s="134">
        <f t="shared" si="10"/>
        <v>0</v>
      </c>
    </row>
    <row r="330" spans="2:27">
      <c r="B330" s="132">
        <f t="shared" si="9"/>
        <v>0</v>
      </c>
      <c r="C330" s="133">
        <f t="shared" si="9"/>
        <v>0</v>
      </c>
      <c r="D330" s="184">
        <f t="shared" si="7"/>
        <v>0</v>
      </c>
      <c r="E330" s="133">
        <f t="shared" si="7"/>
        <v>0</v>
      </c>
      <c r="F330" s="184">
        <f t="shared" si="9"/>
        <v>0</v>
      </c>
      <c r="G330" s="133">
        <f t="shared" si="9"/>
        <v>0</v>
      </c>
      <c r="H330" s="184">
        <f t="shared" si="9"/>
        <v>0</v>
      </c>
      <c r="I330" s="133">
        <f t="shared" si="9"/>
        <v>0</v>
      </c>
      <c r="J330" s="184">
        <f t="shared" si="9"/>
        <v>0</v>
      </c>
      <c r="K330" s="133">
        <f t="shared" si="9"/>
        <v>0</v>
      </c>
      <c r="L330" s="184">
        <f t="shared" si="9"/>
        <v>0</v>
      </c>
      <c r="M330" s="133">
        <f t="shared" si="9"/>
        <v>0</v>
      </c>
      <c r="N330" s="184">
        <f t="shared" si="9"/>
        <v>0</v>
      </c>
      <c r="O330" s="133">
        <f t="shared" si="9"/>
        <v>0</v>
      </c>
      <c r="P330" s="184">
        <f t="shared" si="9"/>
        <v>0</v>
      </c>
      <c r="Q330" s="133">
        <f t="shared" si="9"/>
        <v>0</v>
      </c>
      <c r="R330" s="184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4">
        <f t="shared" si="9"/>
        <v>0</v>
      </c>
      <c r="W330" s="133">
        <f t="shared" si="9"/>
        <v>0</v>
      </c>
      <c r="X330" s="140">
        <f t="shared" si="9"/>
        <v>0</v>
      </c>
      <c r="Y330" s="182">
        <f t="shared" si="10"/>
        <v>0</v>
      </c>
      <c r="Z330" s="182" t="str">
        <f t="shared" si="10"/>
        <v/>
      </c>
      <c r="AA330" s="134">
        <f t="shared" si="10"/>
        <v>0</v>
      </c>
    </row>
    <row r="331" spans="2:27">
      <c r="B331" s="132">
        <f t="shared" si="9"/>
        <v>0</v>
      </c>
      <c r="C331" s="133">
        <f t="shared" si="9"/>
        <v>0</v>
      </c>
      <c r="D331" s="184">
        <f t="shared" ref="D331:E339" si="11">D32</f>
        <v>0</v>
      </c>
      <c r="E331" s="133">
        <f t="shared" si="11"/>
        <v>0</v>
      </c>
      <c r="F331" s="184">
        <f t="shared" si="9"/>
        <v>0</v>
      </c>
      <c r="G331" s="133">
        <f t="shared" ref="G331:X331" si="12">G32</f>
        <v>0</v>
      </c>
      <c r="H331" s="184">
        <f t="shared" si="12"/>
        <v>0</v>
      </c>
      <c r="I331" s="133">
        <f t="shared" si="12"/>
        <v>0</v>
      </c>
      <c r="J331" s="184">
        <f t="shared" si="12"/>
        <v>0</v>
      </c>
      <c r="K331" s="133">
        <f t="shared" si="12"/>
        <v>0</v>
      </c>
      <c r="L331" s="184">
        <f t="shared" si="12"/>
        <v>0</v>
      </c>
      <c r="M331" s="133">
        <f t="shared" si="12"/>
        <v>0</v>
      </c>
      <c r="N331" s="184">
        <f t="shared" si="12"/>
        <v>0</v>
      </c>
      <c r="O331" s="133">
        <f t="shared" si="12"/>
        <v>0</v>
      </c>
      <c r="P331" s="184">
        <f t="shared" si="12"/>
        <v>0</v>
      </c>
      <c r="Q331" s="133">
        <f t="shared" si="12"/>
        <v>0</v>
      </c>
      <c r="R331" s="184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4">
        <f t="shared" si="12"/>
        <v>0</v>
      </c>
      <c r="W331" s="133">
        <f t="shared" si="12"/>
        <v>0</v>
      </c>
      <c r="X331" s="140">
        <f t="shared" si="12"/>
        <v>0</v>
      </c>
      <c r="Y331" s="182">
        <f t="shared" si="10"/>
        <v>0</v>
      </c>
      <c r="Z331" s="182" t="str">
        <f t="shared" si="10"/>
        <v/>
      </c>
      <c r="AA331" s="134">
        <f t="shared" si="10"/>
        <v>0</v>
      </c>
    </row>
    <row r="332" spans="2:27">
      <c r="B332" s="132">
        <f t="shared" ref="B332:X339" si="13">B33</f>
        <v>0</v>
      </c>
      <c r="C332" s="133">
        <f t="shared" si="13"/>
        <v>0</v>
      </c>
      <c r="D332" s="184">
        <f t="shared" si="11"/>
        <v>0</v>
      </c>
      <c r="E332" s="133">
        <f t="shared" si="11"/>
        <v>0</v>
      </c>
      <c r="F332" s="184">
        <f t="shared" si="13"/>
        <v>0</v>
      </c>
      <c r="G332" s="133">
        <f t="shared" si="13"/>
        <v>0</v>
      </c>
      <c r="H332" s="184">
        <f t="shared" si="13"/>
        <v>0</v>
      </c>
      <c r="I332" s="133">
        <f t="shared" si="13"/>
        <v>0</v>
      </c>
      <c r="J332" s="184">
        <f t="shared" si="13"/>
        <v>0</v>
      </c>
      <c r="K332" s="133">
        <f t="shared" si="13"/>
        <v>0</v>
      </c>
      <c r="L332" s="184">
        <f t="shared" si="13"/>
        <v>0</v>
      </c>
      <c r="M332" s="133">
        <f t="shared" si="13"/>
        <v>0</v>
      </c>
      <c r="N332" s="184">
        <f t="shared" si="13"/>
        <v>0</v>
      </c>
      <c r="O332" s="133">
        <f t="shared" si="13"/>
        <v>0</v>
      </c>
      <c r="P332" s="184">
        <f t="shared" si="13"/>
        <v>0</v>
      </c>
      <c r="Q332" s="133">
        <f t="shared" si="13"/>
        <v>0</v>
      </c>
      <c r="R332" s="184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4">
        <f t="shared" si="13"/>
        <v>0</v>
      </c>
      <c r="W332" s="133">
        <f t="shared" si="13"/>
        <v>0</v>
      </c>
      <c r="X332" s="140">
        <f t="shared" si="13"/>
        <v>0</v>
      </c>
      <c r="Y332" s="182">
        <f t="shared" si="10"/>
        <v>0</v>
      </c>
      <c r="Z332" s="182" t="str">
        <f t="shared" si="10"/>
        <v/>
      </c>
      <c r="AA332" s="134">
        <f t="shared" si="10"/>
        <v>0</v>
      </c>
    </row>
    <row r="333" spans="2:27">
      <c r="B333" s="132">
        <f t="shared" si="13"/>
        <v>0</v>
      </c>
      <c r="C333" s="133">
        <f t="shared" si="13"/>
        <v>0</v>
      </c>
      <c r="D333" s="184">
        <f t="shared" si="11"/>
        <v>0</v>
      </c>
      <c r="E333" s="133">
        <f t="shared" si="11"/>
        <v>0</v>
      </c>
      <c r="F333" s="184">
        <f t="shared" si="13"/>
        <v>0</v>
      </c>
      <c r="G333" s="133">
        <f t="shared" si="13"/>
        <v>0</v>
      </c>
      <c r="H333" s="184">
        <f t="shared" si="13"/>
        <v>0</v>
      </c>
      <c r="I333" s="133">
        <f t="shared" si="13"/>
        <v>0</v>
      </c>
      <c r="J333" s="184">
        <f t="shared" si="13"/>
        <v>0</v>
      </c>
      <c r="K333" s="133">
        <f t="shared" si="13"/>
        <v>0</v>
      </c>
      <c r="L333" s="184">
        <f t="shared" si="13"/>
        <v>0</v>
      </c>
      <c r="M333" s="133">
        <f t="shared" si="13"/>
        <v>0</v>
      </c>
      <c r="N333" s="184">
        <f t="shared" si="13"/>
        <v>0</v>
      </c>
      <c r="O333" s="133">
        <f t="shared" si="13"/>
        <v>0</v>
      </c>
      <c r="P333" s="184">
        <f t="shared" si="13"/>
        <v>0</v>
      </c>
      <c r="Q333" s="133">
        <f t="shared" si="13"/>
        <v>0</v>
      </c>
      <c r="R333" s="184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4">
        <f t="shared" si="13"/>
        <v>0</v>
      </c>
      <c r="W333" s="133">
        <f t="shared" si="13"/>
        <v>0</v>
      </c>
      <c r="X333" s="140">
        <f t="shared" si="13"/>
        <v>0</v>
      </c>
      <c r="Y333" s="182">
        <f t="shared" si="10"/>
        <v>0</v>
      </c>
      <c r="Z333" s="182" t="str">
        <f t="shared" si="10"/>
        <v/>
      </c>
      <c r="AA333" s="134">
        <f t="shared" si="10"/>
        <v>0</v>
      </c>
    </row>
    <row r="334" spans="2:27">
      <c r="B334" s="132">
        <f t="shared" si="13"/>
        <v>0</v>
      </c>
      <c r="C334" s="133">
        <f t="shared" si="13"/>
        <v>0</v>
      </c>
      <c r="D334" s="184">
        <f t="shared" si="11"/>
        <v>0</v>
      </c>
      <c r="E334" s="133">
        <f t="shared" si="11"/>
        <v>0</v>
      </c>
      <c r="F334" s="184">
        <f t="shared" si="13"/>
        <v>0</v>
      </c>
      <c r="G334" s="133">
        <f t="shared" si="13"/>
        <v>0</v>
      </c>
      <c r="H334" s="184">
        <f t="shared" si="13"/>
        <v>0</v>
      </c>
      <c r="I334" s="133">
        <f t="shared" si="13"/>
        <v>0</v>
      </c>
      <c r="J334" s="184">
        <f t="shared" si="13"/>
        <v>0</v>
      </c>
      <c r="K334" s="133">
        <f t="shared" si="13"/>
        <v>0</v>
      </c>
      <c r="L334" s="184">
        <f t="shared" si="13"/>
        <v>0</v>
      </c>
      <c r="M334" s="133">
        <f t="shared" si="13"/>
        <v>0</v>
      </c>
      <c r="N334" s="184">
        <f t="shared" si="13"/>
        <v>0</v>
      </c>
      <c r="O334" s="133">
        <f t="shared" si="13"/>
        <v>0</v>
      </c>
      <c r="P334" s="184">
        <f t="shared" si="13"/>
        <v>0</v>
      </c>
      <c r="Q334" s="133">
        <f t="shared" si="13"/>
        <v>0</v>
      </c>
      <c r="R334" s="184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4">
        <f t="shared" si="13"/>
        <v>0</v>
      </c>
      <c r="W334" s="133">
        <f t="shared" si="13"/>
        <v>0</v>
      </c>
      <c r="X334" s="140">
        <f t="shared" si="13"/>
        <v>0</v>
      </c>
      <c r="Y334" s="182">
        <f t="shared" si="10"/>
        <v>0</v>
      </c>
      <c r="Z334" s="182" t="str">
        <f t="shared" si="10"/>
        <v/>
      </c>
      <c r="AA334" s="134">
        <f t="shared" si="10"/>
        <v>0</v>
      </c>
    </row>
    <row r="335" spans="2:27">
      <c r="B335" s="132">
        <f t="shared" si="13"/>
        <v>0</v>
      </c>
      <c r="C335" s="133">
        <f t="shared" si="13"/>
        <v>0</v>
      </c>
      <c r="D335" s="184">
        <f t="shared" si="11"/>
        <v>0</v>
      </c>
      <c r="E335" s="133">
        <f t="shared" si="11"/>
        <v>0</v>
      </c>
      <c r="F335" s="184">
        <f t="shared" si="13"/>
        <v>0</v>
      </c>
      <c r="G335" s="133">
        <f t="shared" si="13"/>
        <v>0</v>
      </c>
      <c r="H335" s="184">
        <f t="shared" si="13"/>
        <v>0</v>
      </c>
      <c r="I335" s="133">
        <f t="shared" si="13"/>
        <v>0</v>
      </c>
      <c r="J335" s="184">
        <f t="shared" si="13"/>
        <v>0</v>
      </c>
      <c r="K335" s="133">
        <f t="shared" si="13"/>
        <v>0</v>
      </c>
      <c r="L335" s="184">
        <f t="shared" si="13"/>
        <v>0</v>
      </c>
      <c r="M335" s="133">
        <f t="shared" si="13"/>
        <v>0</v>
      </c>
      <c r="N335" s="184">
        <f t="shared" si="13"/>
        <v>0</v>
      </c>
      <c r="O335" s="133">
        <f t="shared" si="13"/>
        <v>0</v>
      </c>
      <c r="P335" s="184">
        <f t="shared" si="13"/>
        <v>0</v>
      </c>
      <c r="Q335" s="133">
        <f t="shared" si="13"/>
        <v>0</v>
      </c>
      <c r="R335" s="184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4">
        <f t="shared" si="13"/>
        <v>0</v>
      </c>
      <c r="W335" s="133">
        <f t="shared" si="13"/>
        <v>0</v>
      </c>
      <c r="X335" s="140">
        <f t="shared" si="13"/>
        <v>0</v>
      </c>
      <c r="Y335" s="182">
        <f t="shared" si="10"/>
        <v>0</v>
      </c>
      <c r="Z335" s="182" t="str">
        <f t="shared" si="10"/>
        <v/>
      </c>
      <c r="AA335" s="134">
        <f t="shared" si="10"/>
        <v>0</v>
      </c>
    </row>
    <row r="336" spans="2:27">
      <c r="B336" s="132">
        <f t="shared" si="13"/>
        <v>0</v>
      </c>
      <c r="C336" s="133">
        <f t="shared" si="13"/>
        <v>0</v>
      </c>
      <c r="D336" s="185">
        <f t="shared" si="11"/>
        <v>0</v>
      </c>
      <c r="E336" s="133">
        <f t="shared" si="11"/>
        <v>0</v>
      </c>
      <c r="F336" s="185">
        <f t="shared" si="13"/>
        <v>0</v>
      </c>
      <c r="G336" s="133">
        <f t="shared" si="13"/>
        <v>0</v>
      </c>
      <c r="H336" s="185">
        <f t="shared" si="13"/>
        <v>0</v>
      </c>
      <c r="I336" s="133">
        <f t="shared" si="13"/>
        <v>0</v>
      </c>
      <c r="J336" s="185">
        <f t="shared" si="13"/>
        <v>0</v>
      </c>
      <c r="K336" s="133">
        <f t="shared" si="13"/>
        <v>0</v>
      </c>
      <c r="L336" s="185">
        <f t="shared" si="13"/>
        <v>0</v>
      </c>
      <c r="M336" s="133">
        <f t="shared" si="13"/>
        <v>0</v>
      </c>
      <c r="N336" s="185">
        <f t="shared" si="13"/>
        <v>0</v>
      </c>
      <c r="O336" s="133">
        <f t="shared" si="13"/>
        <v>0</v>
      </c>
      <c r="P336" s="185">
        <f t="shared" si="13"/>
        <v>0</v>
      </c>
      <c r="Q336" s="133">
        <f t="shared" si="13"/>
        <v>0</v>
      </c>
      <c r="R336" s="185">
        <f t="shared" si="13"/>
        <v>0</v>
      </c>
      <c r="S336" s="133">
        <f t="shared" si="13"/>
        <v>0</v>
      </c>
      <c r="T336" s="186">
        <f t="shared" si="13"/>
        <v>0</v>
      </c>
      <c r="U336" s="133">
        <f t="shared" si="13"/>
        <v>0</v>
      </c>
      <c r="V336" s="185">
        <f t="shared" si="13"/>
        <v>0</v>
      </c>
      <c r="W336" s="133">
        <f t="shared" si="13"/>
        <v>0</v>
      </c>
      <c r="X336" s="186">
        <f t="shared" si="13"/>
        <v>0</v>
      </c>
      <c r="Y336" s="182">
        <f t="shared" si="10"/>
        <v>0</v>
      </c>
      <c r="Z336" s="182">
        <f t="shared" si="10"/>
        <v>0</v>
      </c>
      <c r="AA336" s="134">
        <f t="shared" si="10"/>
        <v>0</v>
      </c>
    </row>
    <row r="337" spans="2:27">
      <c r="B337" s="132">
        <f t="shared" si="13"/>
        <v>0</v>
      </c>
      <c r="C337" s="133">
        <f t="shared" si="13"/>
        <v>0</v>
      </c>
      <c r="D337" s="182">
        <f t="shared" si="11"/>
        <v>0</v>
      </c>
      <c r="E337" s="133">
        <f t="shared" si="11"/>
        <v>0</v>
      </c>
      <c r="F337" s="182">
        <f t="shared" si="13"/>
        <v>0</v>
      </c>
      <c r="G337" s="133">
        <f t="shared" si="13"/>
        <v>0</v>
      </c>
      <c r="H337" s="182">
        <f t="shared" si="13"/>
        <v>0</v>
      </c>
      <c r="I337" s="133">
        <f t="shared" si="13"/>
        <v>0</v>
      </c>
      <c r="J337" s="182">
        <f t="shared" si="13"/>
        <v>0</v>
      </c>
      <c r="K337" s="133">
        <f t="shared" si="13"/>
        <v>0</v>
      </c>
      <c r="L337" s="182">
        <f t="shared" si="13"/>
        <v>0</v>
      </c>
      <c r="M337" s="133">
        <f t="shared" si="13"/>
        <v>0</v>
      </c>
      <c r="N337" s="182">
        <f t="shared" si="13"/>
        <v>0</v>
      </c>
      <c r="O337" s="133">
        <f t="shared" si="13"/>
        <v>0</v>
      </c>
      <c r="P337" s="182">
        <f t="shared" si="13"/>
        <v>0</v>
      </c>
      <c r="Q337" s="133">
        <f t="shared" si="13"/>
        <v>0</v>
      </c>
      <c r="R337" s="182">
        <f t="shared" si="13"/>
        <v>0</v>
      </c>
      <c r="S337" s="133">
        <f t="shared" si="13"/>
        <v>0</v>
      </c>
      <c r="T337" s="182">
        <f t="shared" si="13"/>
        <v>0</v>
      </c>
      <c r="U337" s="133">
        <f t="shared" si="13"/>
        <v>0</v>
      </c>
      <c r="V337" s="182">
        <f t="shared" si="13"/>
        <v>0</v>
      </c>
      <c r="W337" s="133">
        <f t="shared" si="13"/>
        <v>0</v>
      </c>
      <c r="X337" s="182">
        <f t="shared" si="13"/>
        <v>0</v>
      </c>
      <c r="Y337" s="182">
        <f t="shared" ref="Y337:AA338" si="14">Y39</f>
        <v>0</v>
      </c>
      <c r="Z337" s="159">
        <f t="shared" si="14"/>
        <v>0</v>
      </c>
      <c r="AA337" s="134">
        <f t="shared" si="14"/>
        <v>0</v>
      </c>
    </row>
    <row r="338" spans="2:27">
      <c r="B338" s="187" t="str">
        <f>CONCATENATE("ביקורת:   ",BikoretCode)</f>
        <v xml:space="preserve">ביקורת:   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2">
        <f t="shared" si="14"/>
        <v>0</v>
      </c>
      <c r="Z338" s="182">
        <f t="shared" si="14"/>
        <v>0</v>
      </c>
      <c r="AA338" s="134">
        <f t="shared" si="14"/>
        <v>0</v>
      </c>
    </row>
    <row r="339" spans="2:27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71" priority="71" stopIfTrue="1">
      <formula>Y38&lt;&gt;0</formula>
    </cfRule>
  </conditionalFormatting>
  <conditionalFormatting sqref="B307:B336 B8:B37">
    <cfRule type="expression" dxfId="70" priority="72" stopIfTrue="1">
      <formula>AND($B8=0,OR($J8&lt;&gt;0,$L8&lt;&gt;0,$N8&lt;&gt;0,$P8&lt;&gt;0,$R8&lt;&gt;0,$V8&lt;&gt;0))</formula>
    </cfRule>
  </conditionalFormatting>
  <conditionalFormatting sqref="B9">
    <cfRule type="expression" dxfId="69" priority="70" stopIfTrue="1">
      <formula>AND($B9=0,OR($J9&lt;&gt;0,$L9&lt;&gt;0,$N9&lt;&gt;0,$P9&lt;&gt;0,$R9&lt;&gt;0,$V9&lt;&gt;0))</formula>
    </cfRule>
  </conditionalFormatting>
  <conditionalFormatting sqref="B8">
    <cfRule type="expression" dxfId="68" priority="69" stopIfTrue="1">
      <formula>AND($B8=0,OR($J8&lt;&gt;0,$L8&lt;&gt;0,$N8&lt;&gt;0,$P8&lt;&gt;0,$R8&lt;&gt;0,$V8&lt;&gt;0))</formula>
    </cfRule>
  </conditionalFormatting>
  <conditionalFormatting sqref="B26">
    <cfRule type="expression" dxfId="67" priority="68" stopIfTrue="1">
      <formula>AND($B26=0,OR($J26&lt;&gt;0,$L26&lt;&gt;0,$N26&lt;&gt;0,$P26&lt;&gt;0,$R26&lt;&gt;0,$V26&lt;&gt;0))</formula>
    </cfRule>
  </conditionalFormatting>
  <conditionalFormatting sqref="B25">
    <cfRule type="expression" dxfId="66" priority="67" stopIfTrue="1">
      <formula>AND($B25=0,OR($J25&lt;&gt;0,$L25&lt;&gt;0,$N25&lt;&gt;0,$P25&lt;&gt;0,$R25&lt;&gt;0,$V25&lt;&gt;0))</formula>
    </cfRule>
  </conditionalFormatting>
  <conditionalFormatting sqref="B8">
    <cfRule type="expression" dxfId="65" priority="66" stopIfTrue="1">
      <formula>AND($B8=0,OR($J8&lt;&gt;0,$L8&lt;&gt;0,$N8&lt;&gt;0,$P8&lt;&gt;0,$R8&lt;&gt;0,$V8&lt;&gt;0))</formula>
    </cfRule>
  </conditionalFormatting>
  <conditionalFormatting sqref="B9">
    <cfRule type="expression" dxfId="64" priority="65" stopIfTrue="1">
      <formula>AND($B9=0,OR($J9&lt;&gt;0,$L9&lt;&gt;0,$N9&lt;&gt;0,$P9&lt;&gt;0,$R9&lt;&gt;0,$V9&lt;&gt;0))</formula>
    </cfRule>
  </conditionalFormatting>
  <conditionalFormatting sqref="B18">
    <cfRule type="expression" dxfId="63" priority="64" stopIfTrue="1">
      <formula>AND($B18=0,OR($J18&lt;&gt;0,$L18&lt;&gt;0,$N18&lt;&gt;0,$P18&lt;&gt;0,$R18&lt;&gt;0,$V18&lt;&gt;0))</formula>
    </cfRule>
  </conditionalFormatting>
  <conditionalFormatting sqref="B20">
    <cfRule type="expression" dxfId="62" priority="63" stopIfTrue="1">
      <formula>AND($B20=0,OR($J20&lt;&gt;0,$L20&lt;&gt;0,$N20&lt;&gt;0,$P20&lt;&gt;0,$R20&lt;&gt;0,$V20&lt;&gt;0))</formula>
    </cfRule>
  </conditionalFormatting>
  <conditionalFormatting sqref="B16">
    <cfRule type="expression" dxfId="61" priority="62" stopIfTrue="1">
      <formula>AND($B16=0,OR($J16&lt;&gt;0,$L16&lt;&gt;0,$N16&lt;&gt;0,$P16&lt;&gt;0,$R16&lt;&gt;0,$V16&lt;&gt;0))</formula>
    </cfRule>
  </conditionalFormatting>
  <conditionalFormatting sqref="B18">
    <cfRule type="expression" dxfId="60" priority="61" stopIfTrue="1">
      <formula>AND($B18=0,OR($J18&lt;&gt;0,$L18&lt;&gt;0,$N18&lt;&gt;0,$P18&lt;&gt;0,$R18&lt;&gt;0,$V18&lt;&gt;0))</formula>
    </cfRule>
  </conditionalFormatting>
  <conditionalFormatting sqref="B19">
    <cfRule type="expression" dxfId="59" priority="60" stopIfTrue="1">
      <formula>AND($B19=0,OR($J19&lt;&gt;0,$L19&lt;&gt;0,$N19&lt;&gt;0,$P19&lt;&gt;0,$R19&lt;&gt;0,$V19&lt;&gt;0))</formula>
    </cfRule>
  </conditionalFormatting>
  <conditionalFormatting sqref="B23">
    <cfRule type="expression" dxfId="58" priority="59" stopIfTrue="1">
      <formula>AND($B23=0,OR($J23&lt;&gt;0,$L23&lt;&gt;0,$N23&lt;&gt;0,$P23&lt;&gt;0,$R23&lt;&gt;0,$V23&lt;&gt;0))</formula>
    </cfRule>
  </conditionalFormatting>
  <conditionalFormatting sqref="B21">
    <cfRule type="expression" dxfId="57" priority="58" stopIfTrue="1">
      <formula>AND($B21=0,OR($J21&lt;&gt;0,$L21&lt;&gt;0,$N21&lt;&gt;0,$P21&lt;&gt;0,$R21&lt;&gt;0,$V21&lt;&gt;0))</formula>
    </cfRule>
  </conditionalFormatting>
  <conditionalFormatting sqref="B24">
    <cfRule type="expression" dxfId="56" priority="57" stopIfTrue="1">
      <formula>AND($B24=0,OR($J24&lt;&gt;0,$L24&lt;&gt;0,$N24&lt;&gt;0,$P24&lt;&gt;0,$R24&lt;&gt;0,$V24&lt;&gt;0))</formula>
    </cfRule>
  </conditionalFormatting>
  <conditionalFormatting sqref="B17">
    <cfRule type="expression" dxfId="55" priority="56" stopIfTrue="1">
      <formula>AND($B17=0,OR($J17&lt;&gt;0,$L17&lt;&gt;0,$N17&lt;&gt;0,$P17&lt;&gt;0,$R17&lt;&gt;0,$V17&lt;&gt;0))</formula>
    </cfRule>
  </conditionalFormatting>
  <conditionalFormatting sqref="B17">
    <cfRule type="expression" dxfId="54" priority="55" stopIfTrue="1">
      <formula>AND($B17=0,OR($J17&lt;&gt;0,$L17&lt;&gt;0,$N17&lt;&gt;0,$P17&lt;&gt;0,$R17&lt;&gt;0,$V17&lt;&gt;0))</formula>
    </cfRule>
  </conditionalFormatting>
  <conditionalFormatting sqref="B18">
    <cfRule type="expression" dxfId="53" priority="54" stopIfTrue="1">
      <formula>AND($B18=0,OR($J18&lt;&gt;0,$L18&lt;&gt;0,$N18&lt;&gt;0,$P18&lt;&gt;0,$R18&lt;&gt;0,$V18&lt;&gt;0))</formula>
    </cfRule>
  </conditionalFormatting>
  <conditionalFormatting sqref="B19">
    <cfRule type="expression" dxfId="52" priority="53" stopIfTrue="1">
      <formula>AND($B19=0,OR($J19&lt;&gt;0,$L19&lt;&gt;0,$N19&lt;&gt;0,$P19&lt;&gt;0,$R19&lt;&gt;0,$V19&lt;&gt;0))</formula>
    </cfRule>
  </conditionalFormatting>
  <conditionalFormatting sqref="B20">
    <cfRule type="expression" dxfId="51" priority="52" stopIfTrue="1">
      <formula>AND($B20=0,OR($J20&lt;&gt;0,$L20&lt;&gt;0,$N20&lt;&gt;0,$P20&lt;&gt;0,$R20&lt;&gt;0,$V20&lt;&gt;0))</formula>
    </cfRule>
  </conditionalFormatting>
  <conditionalFormatting sqref="B15">
    <cfRule type="expression" dxfId="50" priority="51" stopIfTrue="1">
      <formula>AND($B15=0,OR($J15&lt;&gt;0,$L15&lt;&gt;0,$N15&lt;&gt;0,$P15&lt;&gt;0,$R15&lt;&gt;0,$V15&lt;&gt;0))</formula>
    </cfRule>
  </conditionalFormatting>
  <conditionalFormatting sqref="B15">
    <cfRule type="expression" dxfId="49" priority="50" stopIfTrue="1">
      <formula>AND($B15=0,OR($J15&lt;&gt;0,$L15&lt;&gt;0,$N15&lt;&gt;0,$P15&lt;&gt;0,$R15&lt;&gt;0,$V15&lt;&gt;0))</formula>
    </cfRule>
  </conditionalFormatting>
  <conditionalFormatting sqref="B17">
    <cfRule type="expression" dxfId="48" priority="49" stopIfTrue="1">
      <formula>AND($B17=0,OR($J17&lt;&gt;0,$L17&lt;&gt;0,$N17&lt;&gt;0,$P17&lt;&gt;0,$R17&lt;&gt;0,$V17&lt;&gt;0))</formula>
    </cfRule>
  </conditionalFormatting>
  <conditionalFormatting sqref="B17">
    <cfRule type="expression" dxfId="47" priority="48" stopIfTrue="1">
      <formula>AND($B17=0,OR($J17&lt;&gt;0,$L17&lt;&gt;0,$N17&lt;&gt;0,$P17&lt;&gt;0,$R17&lt;&gt;0,$V17&lt;&gt;0))</formula>
    </cfRule>
  </conditionalFormatting>
  <conditionalFormatting sqref="B17">
    <cfRule type="expression" dxfId="46" priority="47" stopIfTrue="1">
      <formula>AND($B17=0,OR($J17&lt;&gt;0,$L17&lt;&gt;0,$N17&lt;&gt;0,$P17&lt;&gt;0,$R17&lt;&gt;0,$V17&lt;&gt;0))</formula>
    </cfRule>
  </conditionalFormatting>
  <conditionalFormatting sqref="B18">
    <cfRule type="expression" dxfId="45" priority="46" stopIfTrue="1">
      <formula>AND($B18=0,OR($J18&lt;&gt;0,$L18&lt;&gt;0,$N18&lt;&gt;0,$P18&lt;&gt;0,$R18&lt;&gt;0,$V18&lt;&gt;0))</formula>
    </cfRule>
  </conditionalFormatting>
  <conditionalFormatting sqref="B25">
    <cfRule type="expression" dxfId="44" priority="45" stopIfTrue="1">
      <formula>AND($B25=0,OR($J25&lt;&gt;0,$L25&lt;&gt;0,$N25&lt;&gt;0,$P25&lt;&gt;0,$R25&lt;&gt;0,$V25&lt;&gt;0))</formula>
    </cfRule>
  </conditionalFormatting>
  <conditionalFormatting sqref="B25">
    <cfRule type="expression" dxfId="43" priority="44" stopIfTrue="1">
      <formula>AND($B25=0,OR($J25&lt;&gt;0,$L25&lt;&gt;0,$N25&lt;&gt;0,$P25&lt;&gt;0,$R25&lt;&gt;0,$V25&lt;&gt;0))</formula>
    </cfRule>
  </conditionalFormatting>
  <conditionalFormatting sqref="B12">
    <cfRule type="expression" dxfId="42" priority="43" stopIfTrue="1">
      <formula>AND($B12=0,OR($J12&lt;&gt;0,$L12&lt;&gt;0,$N12&lt;&gt;0,$P12&lt;&gt;0,$R12&lt;&gt;0,$V12&lt;&gt;0))</formula>
    </cfRule>
  </conditionalFormatting>
  <conditionalFormatting sqref="B13">
    <cfRule type="expression" dxfId="41" priority="42" stopIfTrue="1">
      <formula>AND($B13=0,OR($J13&lt;&gt;0,$L13&lt;&gt;0,$N13&lt;&gt;0,$P13&lt;&gt;0,$R13&lt;&gt;0,$V13&lt;&gt;0))</formula>
    </cfRule>
  </conditionalFormatting>
  <conditionalFormatting sqref="B13">
    <cfRule type="expression" dxfId="40" priority="41" stopIfTrue="1">
      <formula>AND($B13=0,OR($J13&lt;&gt;0,$L13&lt;&gt;0,$N13&lt;&gt;0,$P13&lt;&gt;0,$R13&lt;&gt;0,$V13&lt;&gt;0))</formula>
    </cfRule>
  </conditionalFormatting>
  <conditionalFormatting sqref="B13">
    <cfRule type="expression" dxfId="39" priority="40" stopIfTrue="1">
      <formula>AND($B13=0,OR($J13&lt;&gt;0,$L13&lt;&gt;0,$N13&lt;&gt;0,$P13&lt;&gt;0,$R13&lt;&gt;0,$V13&lt;&gt;0))</formula>
    </cfRule>
  </conditionalFormatting>
  <conditionalFormatting sqref="B28">
    <cfRule type="expression" dxfId="38" priority="39" stopIfTrue="1">
      <formula>AND($B28=0,OR($J28&lt;&gt;0,$L28&lt;&gt;0,$N28&lt;&gt;0,$P28&lt;&gt;0,$R28&lt;&gt;0,$V28&lt;&gt;0))</formula>
    </cfRule>
  </conditionalFormatting>
  <conditionalFormatting sqref="B28">
    <cfRule type="expression" dxfId="37" priority="38" stopIfTrue="1">
      <formula>AND($B28=0,OR($J28&lt;&gt;0,$L28&lt;&gt;0,$N28&lt;&gt;0,$P28&lt;&gt;0,$R28&lt;&gt;0,$V28&lt;&gt;0))</formula>
    </cfRule>
  </conditionalFormatting>
  <conditionalFormatting sqref="B23">
    <cfRule type="expression" dxfId="36" priority="37" stopIfTrue="1">
      <formula>AND($B23=0,OR($J23&lt;&gt;0,$L23&lt;&gt;0,$N23&lt;&gt;0,$P23&lt;&gt;0,$R23&lt;&gt;0,$V23&lt;&gt;0))</formula>
    </cfRule>
  </conditionalFormatting>
  <conditionalFormatting sqref="B16">
    <cfRule type="expression" dxfId="35" priority="36" stopIfTrue="1">
      <formula>AND($B16=0,OR($J16&lt;&gt;0,$L16&lt;&gt;0,$N16&lt;&gt;0,$P16&lt;&gt;0,$R16&lt;&gt;0,$V16&lt;&gt;0))</formula>
    </cfRule>
  </conditionalFormatting>
  <conditionalFormatting sqref="B16">
    <cfRule type="expression" dxfId="34" priority="35" stopIfTrue="1">
      <formula>AND($B16=0,OR($J16&lt;&gt;0,$L16&lt;&gt;0,$N16&lt;&gt;0,$P16&lt;&gt;0,$R16&lt;&gt;0,$V16&lt;&gt;0))</formula>
    </cfRule>
  </conditionalFormatting>
  <conditionalFormatting sqref="B26">
    <cfRule type="expression" dxfId="33" priority="34" stopIfTrue="1">
      <formula>AND($B26=0,OR($J26&lt;&gt;0,$L26&lt;&gt;0,$N26&lt;&gt;0,$P26&lt;&gt;0,$R26&lt;&gt;0,$V26&lt;&gt;0))</formula>
    </cfRule>
  </conditionalFormatting>
  <conditionalFormatting sqref="B26">
    <cfRule type="expression" dxfId="32" priority="33" stopIfTrue="1">
      <formula>AND($B26=0,OR($J26&lt;&gt;0,$L26&lt;&gt;0,$N26&lt;&gt;0,$P26&lt;&gt;0,$R26&lt;&gt;0,$V26&lt;&gt;0))</formula>
    </cfRule>
  </conditionalFormatting>
  <conditionalFormatting sqref="B26">
    <cfRule type="expression" dxfId="31" priority="32" stopIfTrue="1">
      <formula>AND($B26=0,OR($J26&lt;&gt;0,$L26&lt;&gt;0,$N26&lt;&gt;0,$P26&lt;&gt;0,$R26&lt;&gt;0,$V26&lt;&gt;0))</formula>
    </cfRule>
  </conditionalFormatting>
  <conditionalFormatting sqref="B26">
    <cfRule type="expression" dxfId="30" priority="31" stopIfTrue="1">
      <formula>AND($B26=0,OR($J26&lt;&gt;0,$L26&lt;&gt;0,$N26&lt;&gt;0,$P26&lt;&gt;0,$R26&lt;&gt;0,$V26&lt;&gt;0))</formula>
    </cfRule>
  </conditionalFormatting>
  <conditionalFormatting sqref="B26">
    <cfRule type="expression" dxfId="29" priority="30" stopIfTrue="1">
      <formula>AND($B26=0,OR($J26&lt;&gt;0,$L26&lt;&gt;0,$N26&lt;&gt;0,$P26&lt;&gt;0,$R26&lt;&gt;0,$V26&lt;&gt;0))</formula>
    </cfRule>
  </conditionalFormatting>
  <conditionalFormatting sqref="B17">
    <cfRule type="expression" dxfId="28" priority="29" stopIfTrue="1">
      <formula>AND($B17=0,OR($J17&lt;&gt;0,$L17&lt;&gt;0,$N17&lt;&gt;0,$P17&lt;&gt;0,$R17&lt;&gt;0,$V17&lt;&gt;0))</formula>
    </cfRule>
  </conditionalFormatting>
  <conditionalFormatting sqref="B17">
    <cfRule type="expression" dxfId="27" priority="28" stopIfTrue="1">
      <formula>AND($B17=0,OR($J17&lt;&gt;0,$L17&lt;&gt;0,$N17&lt;&gt;0,$P17&lt;&gt;0,$R17&lt;&gt;0,$V17&lt;&gt;0))</formula>
    </cfRule>
  </conditionalFormatting>
  <conditionalFormatting sqref="B20">
    <cfRule type="expression" dxfId="26" priority="27" stopIfTrue="1">
      <formula>AND($B20=0,OR($J20&lt;&gt;0,$L20&lt;&gt;0,$N20&lt;&gt;0,$P20&lt;&gt;0,$R20&lt;&gt;0,$V20&lt;&gt;0))</formula>
    </cfRule>
  </conditionalFormatting>
  <conditionalFormatting sqref="B20">
    <cfRule type="expression" dxfId="25" priority="26" stopIfTrue="1">
      <formula>AND($B20=0,OR($J20&lt;&gt;0,$L20&lt;&gt;0,$N20&lt;&gt;0,$P20&lt;&gt;0,$R20&lt;&gt;0,$V20&lt;&gt;0))</formula>
    </cfRule>
  </conditionalFormatting>
  <conditionalFormatting sqref="B20">
    <cfRule type="expression" dxfId="24" priority="25" stopIfTrue="1">
      <formula>AND($B20=0,OR($J20&lt;&gt;0,$L20&lt;&gt;0,$N20&lt;&gt;0,$P20&lt;&gt;0,$R20&lt;&gt;0,$V20&lt;&gt;0))</formula>
    </cfRule>
  </conditionalFormatting>
  <conditionalFormatting sqref="B20">
    <cfRule type="expression" dxfId="23" priority="24" stopIfTrue="1">
      <formula>AND($B20=0,OR($J20&lt;&gt;0,$L20&lt;&gt;0,$N20&lt;&gt;0,$P20&lt;&gt;0,$R20&lt;&gt;0,$V20&lt;&gt;0))</formula>
    </cfRule>
  </conditionalFormatting>
  <conditionalFormatting sqref="B20">
    <cfRule type="expression" dxfId="22" priority="23" stopIfTrue="1">
      <formula>AND($B20=0,OR($J20&lt;&gt;0,$L20&lt;&gt;0,$N20&lt;&gt;0,$P20&lt;&gt;0,$R20&lt;&gt;0,$V20&lt;&gt;0))</formula>
    </cfRule>
  </conditionalFormatting>
  <conditionalFormatting sqref="B20">
    <cfRule type="expression" dxfId="21" priority="22" stopIfTrue="1">
      <formula>AND($B20=0,OR($J20&lt;&gt;0,$L20&lt;&gt;0,$N20&lt;&gt;0,$P20&lt;&gt;0,$R20&lt;&gt;0,$V20&lt;&gt;0))</formula>
    </cfRule>
  </conditionalFormatting>
  <conditionalFormatting sqref="B25">
    <cfRule type="expression" dxfId="20" priority="21" stopIfTrue="1">
      <formula>AND($B25=0,OR($J25&lt;&gt;0,$L25&lt;&gt;0,$N25&lt;&gt;0,$P25&lt;&gt;0,$R25&lt;&gt;0,$V25&lt;&gt;0))</formula>
    </cfRule>
  </conditionalFormatting>
  <conditionalFormatting sqref="B25">
    <cfRule type="expression" dxfId="19" priority="20" stopIfTrue="1">
      <formula>AND($B25=0,OR($J25&lt;&gt;0,$L25&lt;&gt;0,$N25&lt;&gt;0,$P25&lt;&gt;0,$R25&lt;&gt;0,$V25&lt;&gt;0))</formula>
    </cfRule>
  </conditionalFormatting>
  <conditionalFormatting sqref="B19">
    <cfRule type="expression" dxfId="18" priority="19" stopIfTrue="1">
      <formula>AND($B19=0,OR($J19&lt;&gt;0,$L19&lt;&gt;0,$N19&lt;&gt;0,$P19&lt;&gt;0,$R19&lt;&gt;0,$V19&lt;&gt;0))</formula>
    </cfRule>
  </conditionalFormatting>
  <conditionalFormatting sqref="B19">
    <cfRule type="expression" dxfId="17" priority="18" stopIfTrue="1">
      <formula>AND($B19=0,OR($J19&lt;&gt;0,$L19&lt;&gt;0,$N19&lt;&gt;0,$P19&lt;&gt;0,$R19&lt;&gt;0,$V19&lt;&gt;0))</formula>
    </cfRule>
  </conditionalFormatting>
  <conditionalFormatting sqref="B19">
    <cfRule type="expression" dxfId="16" priority="17" stopIfTrue="1">
      <formula>AND($B19=0,OR($J19&lt;&gt;0,$L19&lt;&gt;0,$N19&lt;&gt;0,$P19&lt;&gt;0,$R19&lt;&gt;0,$V19&lt;&gt;0))</formula>
    </cfRule>
  </conditionalFormatting>
  <conditionalFormatting sqref="B19">
    <cfRule type="expression" dxfId="15" priority="16" stopIfTrue="1">
      <formula>AND($B19=0,OR($J19&lt;&gt;0,$L19&lt;&gt;0,$N19&lt;&gt;0,$P19&lt;&gt;0,$R19&lt;&gt;0,$V19&lt;&gt;0))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19">
    <cfRule type="expression" dxfId="13" priority="14" stopIfTrue="1">
      <formula>AND($B19=0,OR($J19&lt;&gt;0,$L19&lt;&gt;0,$N19&lt;&gt;0,$P19&lt;&gt;0,$R19&lt;&gt;0,$V19&lt;&gt;0))</formula>
    </cfRule>
  </conditionalFormatting>
  <conditionalFormatting sqref="B19">
    <cfRule type="expression" dxfId="12" priority="13" stopIfTrue="1">
      <formula>AND($B19=0,OR($J19&lt;&gt;0,$L19&lt;&gt;0,$N19&lt;&gt;0,$P19&lt;&gt;0,$R19&lt;&gt;0,$V19&lt;&gt;0))</formula>
    </cfRule>
  </conditionalFormatting>
  <conditionalFormatting sqref="B19">
    <cfRule type="expression" dxfId="11" priority="12" stopIfTrue="1">
      <formula>AND($B19=0,OR($J19&lt;&gt;0,$L19&lt;&gt;0,$N19&lt;&gt;0,$P19&lt;&gt;0,$R19&lt;&gt;0,$V19&lt;&gt;0))</formula>
    </cfRule>
  </conditionalFormatting>
  <conditionalFormatting sqref="B20">
    <cfRule type="expression" dxfId="10" priority="11" stopIfTrue="1">
      <formula>AND($B20=0,OR($J20&lt;&gt;0,$L20&lt;&gt;0,$N20&lt;&gt;0,$P20&lt;&gt;0,$R20&lt;&gt;0,$V20&lt;&gt;0))</formula>
    </cfRule>
  </conditionalFormatting>
  <conditionalFormatting sqref="B20">
    <cfRule type="expression" dxfId="9" priority="10" stopIfTrue="1">
      <formula>AND($B20=0,OR($J20&lt;&gt;0,$L20&lt;&gt;0,$N20&lt;&gt;0,$P20&lt;&gt;0,$R20&lt;&gt;0,$V20&lt;&gt;0))</formula>
    </cfRule>
  </conditionalFormatting>
  <conditionalFormatting sqref="B20">
    <cfRule type="expression" dxfId="8" priority="9" stopIfTrue="1">
      <formula>AND($B20=0,OR($J20&lt;&gt;0,$L20&lt;&gt;0,$N20&lt;&gt;0,$P20&lt;&gt;0,$R20&lt;&gt;0,$V20&lt;&gt;0))</formula>
    </cfRule>
  </conditionalFormatting>
  <conditionalFormatting sqref="B20">
    <cfRule type="expression" dxfId="7" priority="8" stopIfTrue="1">
      <formula>AND($B20=0,OR($J20&lt;&gt;0,$L20&lt;&gt;0,$N20&lt;&gt;0,$P20&lt;&gt;0,$R20&lt;&gt;0,$V20&lt;&gt;0))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27">
    <cfRule type="expression" dxfId="5" priority="6" stopIfTrue="1">
      <formula>AND($B27=0,OR($J27&lt;&gt;0,$L27&lt;&gt;0,$N27&lt;&gt;0,$P27&lt;&gt;0,$R27&lt;&gt;0,$V27&lt;&gt;0))</formula>
    </cfRule>
  </conditionalFormatting>
  <conditionalFormatting sqref="B25">
    <cfRule type="expression" dxfId="4" priority="5" stopIfTrue="1">
      <formula>AND($B25=0,OR($J25&lt;&gt;0,$L25&lt;&gt;0,$N25&lt;&gt;0,$P25&lt;&gt;0,$R25&lt;&gt;0,$V25&lt;&gt;0))</formula>
    </cfRule>
  </conditionalFormatting>
  <conditionalFormatting sqref="B27">
    <cfRule type="expression" dxfId="3" priority="4" stopIfTrue="1">
      <formula>AND($B27=0,OR($J27&lt;&gt;0,$L27&lt;&gt;0,$N27&lt;&gt;0,$P27&lt;&gt;0,$R27&lt;&gt;0,$V27&lt;&gt;0))</formula>
    </cfRule>
  </conditionalFormatting>
  <conditionalFormatting sqref="B17">
    <cfRule type="expression" dxfId="2" priority="3" stopIfTrue="1">
      <formula>AND($B17=0,OR($J17&lt;&gt;0,$L17&lt;&gt;0,$N17&lt;&gt;0,$P17&lt;&gt;0,$R17&lt;&gt;0,$V17&lt;&gt;0))</formula>
    </cfRule>
  </conditionalFormatting>
  <conditionalFormatting sqref="B17">
    <cfRule type="expression" dxfId="1" priority="2" stopIfTrue="1">
      <formula>AND($B17=0,OR($J17&lt;&gt;0,$L17&lt;&gt;0,$N17&lt;&gt;0,$P17&lt;&gt;0,$R17&lt;&gt;0,$V17&lt;&gt;0))</formula>
    </cfRule>
  </conditionalFormatting>
  <conditionalFormatting sqref="B17">
    <cfRule type="expression" dxfId="0" priority="1" stopIfTrue="1">
      <formula>AND($B17=0,OR($J17&lt;&gt;0,$L17&lt;&gt;0,$N17&lt;&gt;0,$P17&lt;&gt;0,$R17&lt;&gt;0,$V17&lt;&gt;0))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/>
  <cols>
    <col min="1" max="16384" width="9.140625" style="148"/>
  </cols>
  <sheetData>
    <row r="1" spans="1:1">
      <c r="A1" s="147" t="s">
        <v>584</v>
      </c>
    </row>
    <row r="2" spans="1:1">
      <c r="A2" s="147"/>
    </row>
    <row r="3" spans="1:1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>
      <c r="A1" s="2" t="s">
        <v>574</v>
      </c>
      <c r="B1" s="3"/>
      <c r="C1" s="3"/>
      <c r="D1" s="3"/>
      <c r="E1" s="3"/>
      <c r="F1" s="652" t="e">
        <f>#REF!</f>
        <v>#REF!</v>
      </c>
      <c r="G1" s="654"/>
      <c r="H1" s="654"/>
      <c r="I1" s="654"/>
      <c r="J1" s="654"/>
      <c r="K1" s="4"/>
    </row>
    <row r="2" spans="1:11" ht="15.75" customHeight="1">
      <c r="A2" s="3"/>
      <c r="B2" s="3"/>
      <c r="C2" s="3"/>
      <c r="D2" s="3"/>
      <c r="E2" s="3"/>
      <c r="F2" s="652" t="s">
        <v>514</v>
      </c>
      <c r="G2" s="653"/>
      <c r="H2" s="653"/>
      <c r="I2" s="653"/>
      <c r="J2" s="653"/>
      <c r="K2" s="4"/>
    </row>
    <row r="3" spans="1:11" ht="15.75" customHeight="1">
      <c r="A3" s="3"/>
      <c r="B3" s="3"/>
      <c r="C3" s="3"/>
      <c r="D3" s="3"/>
      <c r="E3" s="3"/>
      <c r="F3" s="652" t="e">
        <f>CONCATENATE("לשנה שנסתיימה ביום 31 בדצמבר ",#REF!, " (אלפי ש''ח) ")</f>
        <v>#REF!</v>
      </c>
      <c r="G3" s="656"/>
      <c r="H3" s="656"/>
      <c r="I3" s="656"/>
      <c r="J3" s="657"/>
      <c r="K3" s="4"/>
    </row>
    <row r="4" spans="1:11" ht="15.75" customHeight="1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>
      <c r="A5" s="655" t="e">
        <f>F1</f>
        <v>#REF!</v>
      </c>
      <c r="B5" s="655"/>
      <c r="C5" s="655"/>
      <c r="D5" s="655"/>
      <c r="E5" s="655"/>
      <c r="F5" s="655"/>
      <c r="G5" s="655"/>
      <c r="H5" s="655"/>
      <c r="I5" s="655"/>
      <c r="J5" s="9"/>
      <c r="K5" s="4"/>
    </row>
    <row r="6" spans="1:11" ht="15.75" customHeight="1">
      <c r="A6" s="655" t="str">
        <f>F2</f>
        <v>באורים לדוחות הכספיים</v>
      </c>
      <c r="B6" s="655"/>
      <c r="C6" s="655"/>
      <c r="D6" s="655"/>
      <c r="E6" s="655"/>
      <c r="F6" s="655"/>
      <c r="G6" s="655"/>
      <c r="H6" s="655"/>
      <c r="I6" s="655"/>
      <c r="J6" s="9"/>
      <c r="K6" s="4"/>
    </row>
    <row r="7" spans="1:11" ht="15.75" customHeight="1">
      <c r="A7" s="10"/>
      <c r="B7" s="655" t="e">
        <f>F3</f>
        <v>#REF!</v>
      </c>
      <c r="C7" s="655"/>
      <c r="D7" s="655"/>
      <c r="E7" s="655"/>
      <c r="F7" s="655"/>
      <c r="G7" s="655"/>
      <c r="H7" s="655"/>
      <c r="I7" s="655"/>
      <c r="J7" s="9"/>
      <c r="K7" s="4"/>
    </row>
    <row r="8" spans="1:11" ht="24" customHeight="1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>
      <c r="A45" s="11"/>
      <c r="B45" s="12"/>
      <c r="C45" s="651" t="s">
        <v>542</v>
      </c>
      <c r="D45" s="651"/>
      <c r="E45" s="651"/>
      <c r="F45" s="651"/>
      <c r="G45" s="651"/>
      <c r="H45" s="651"/>
      <c r="I45" s="651"/>
      <c r="J45" s="11"/>
      <c r="K45" s="4"/>
    </row>
    <row r="46" spans="1:11" ht="9.9499999999999993" customHeight="1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tabSelected="1" zoomScale="110" zoomScaleNormal="110" workbookViewId="0"/>
  </sheetViews>
  <sheetFormatPr defaultColWidth="9.140625" defaultRowHeight="12.75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>
      <c r="A4" s="110"/>
      <c r="B4" s="110"/>
      <c r="C4" s="110"/>
      <c r="D4" s="110"/>
      <c r="E4" s="110"/>
      <c r="F4" s="110"/>
      <c r="G4" s="110"/>
      <c r="H4" s="110"/>
      <c r="I4" s="111"/>
    </row>
    <row r="5" spans="1:9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>
      <c r="A6" s="110"/>
      <c r="B6" s="593" t="s">
        <v>506</v>
      </c>
      <c r="C6" s="594"/>
      <c r="D6" s="594"/>
      <c r="E6" s="594"/>
      <c r="F6" s="594"/>
      <c r="G6" s="594"/>
      <c r="H6" s="595"/>
      <c r="I6" s="111"/>
    </row>
    <row r="7" spans="1:9" ht="10.5" customHeight="1">
      <c r="A7" s="110"/>
      <c r="B7" s="596"/>
      <c r="C7" s="596"/>
      <c r="D7" s="596"/>
      <c r="E7" s="596"/>
      <c r="F7" s="596"/>
      <c r="G7" s="596"/>
      <c r="H7" s="597"/>
      <c r="I7" s="111"/>
    </row>
    <row r="8" spans="1:9">
      <c r="A8" s="110"/>
      <c r="B8" s="417"/>
      <c r="C8" s="418"/>
      <c r="D8" s="418"/>
      <c r="E8" s="418"/>
      <c r="F8" s="419"/>
      <c r="G8" s="420"/>
      <c r="H8" s="421"/>
      <c r="I8" s="111"/>
    </row>
    <row r="9" spans="1:9">
      <c r="A9" s="110"/>
      <c r="B9" s="422"/>
      <c r="C9" s="423" t="s">
        <v>737</v>
      </c>
      <c r="D9" s="424"/>
      <c r="E9" s="423" t="s">
        <v>507</v>
      </c>
      <c r="F9" s="425"/>
      <c r="G9" s="423" t="s">
        <v>508</v>
      </c>
      <c r="H9" s="421"/>
      <c r="I9" s="111"/>
    </row>
    <row r="10" spans="1:9" ht="6.95" customHeight="1">
      <c r="A10" s="110"/>
      <c r="B10" s="422"/>
      <c r="C10" s="424"/>
      <c r="D10" s="424"/>
      <c r="E10" s="424"/>
      <c r="F10" s="425"/>
      <c r="G10" s="426"/>
      <c r="H10" s="421"/>
      <c r="I10" s="111"/>
    </row>
    <row r="11" spans="1:9">
      <c r="A11" s="110"/>
      <c r="B11" s="422"/>
      <c r="C11" s="423" t="s">
        <v>910</v>
      </c>
      <c r="D11" s="424"/>
      <c r="E11" s="423" t="s">
        <v>966</v>
      </c>
      <c r="F11" s="425"/>
      <c r="G11" s="423" t="s">
        <v>575</v>
      </c>
      <c r="H11" s="421"/>
      <c r="I11" s="111"/>
    </row>
    <row r="12" spans="1:9" ht="6.95" customHeight="1">
      <c r="A12" s="110"/>
      <c r="B12" s="422"/>
      <c r="C12" s="424"/>
      <c r="D12" s="424"/>
      <c r="E12" s="424"/>
      <c r="F12" s="425"/>
      <c r="G12" s="426"/>
      <c r="H12" s="421"/>
      <c r="I12" s="111"/>
    </row>
    <row r="13" spans="1:9">
      <c r="A13" s="110"/>
      <c r="B13" s="422"/>
      <c r="C13" s="423" t="s">
        <v>920</v>
      </c>
      <c r="D13" s="424"/>
      <c r="E13" s="423" t="s">
        <v>123</v>
      </c>
      <c r="F13" s="425"/>
      <c r="G13" s="426"/>
      <c r="H13" s="421"/>
      <c r="I13" s="111"/>
    </row>
    <row r="14" spans="1:9" ht="6.95" customHeight="1">
      <c r="A14" s="110"/>
      <c r="B14" s="422"/>
      <c r="C14" s="424"/>
      <c r="D14" s="424"/>
      <c r="E14" s="424"/>
      <c r="F14" s="424"/>
      <c r="G14" s="426"/>
      <c r="H14" s="421"/>
      <c r="I14" s="111"/>
    </row>
    <row r="15" spans="1:9">
      <c r="A15" s="110"/>
      <c r="B15" s="422"/>
      <c r="C15" s="423" t="s">
        <v>933</v>
      </c>
      <c r="D15" s="424"/>
      <c r="E15" s="423" t="s">
        <v>509</v>
      </c>
      <c r="F15" s="425"/>
      <c r="G15" s="426"/>
      <c r="H15" s="421"/>
      <c r="I15" s="111"/>
    </row>
    <row r="16" spans="1:9" ht="6.95" customHeight="1">
      <c r="A16" s="110"/>
      <c r="B16" s="422"/>
      <c r="C16" s="424"/>
      <c r="D16" s="424"/>
      <c r="E16" s="424"/>
      <c r="F16" s="424"/>
      <c r="G16" s="426"/>
      <c r="H16" s="421"/>
      <c r="I16" s="111"/>
    </row>
    <row r="17" spans="1:9" hidden="1">
      <c r="A17" s="110"/>
      <c r="B17" s="422"/>
      <c r="C17" s="423" t="s">
        <v>742</v>
      </c>
      <c r="D17" s="424"/>
      <c r="E17" s="423">
        <v>1.01</v>
      </c>
      <c r="F17" s="425"/>
      <c r="G17" s="426" t="s">
        <v>743</v>
      </c>
      <c r="H17" s="421"/>
      <c r="I17" s="111"/>
    </row>
    <row r="18" spans="1:9" ht="8.25" hidden="1" customHeight="1">
      <c r="A18" s="110"/>
      <c r="B18" s="422"/>
      <c r="C18" s="423"/>
      <c r="D18" s="424"/>
      <c r="E18" s="423"/>
      <c r="F18" s="425"/>
      <c r="G18" s="426"/>
      <c r="H18" s="421"/>
      <c r="I18" s="111"/>
    </row>
    <row r="19" spans="1:9" hidden="1">
      <c r="A19" s="110"/>
      <c r="B19" s="422"/>
      <c r="C19" s="423" t="s">
        <v>744</v>
      </c>
      <c r="D19" s="424"/>
      <c r="E19" s="423">
        <v>31.12</v>
      </c>
      <c r="F19" s="425"/>
      <c r="G19" s="426" t="s">
        <v>743</v>
      </c>
      <c r="H19" s="421"/>
      <c r="I19" s="111"/>
    </row>
    <row r="20" spans="1:9">
      <c r="A20" s="110"/>
      <c r="B20" s="422"/>
      <c r="C20" s="423" t="s">
        <v>510</v>
      </c>
      <c r="D20" s="424"/>
      <c r="E20" s="423" t="s">
        <v>504</v>
      </c>
      <c r="F20" s="425"/>
      <c r="G20" s="426"/>
      <c r="H20" s="421"/>
      <c r="I20" s="111"/>
    </row>
    <row r="21" spans="1:9" ht="7.5" customHeight="1">
      <c r="A21" s="110"/>
      <c r="B21" s="422"/>
      <c r="C21" s="418"/>
      <c r="D21" s="418"/>
      <c r="E21" s="418"/>
      <c r="F21" s="426"/>
      <c r="G21" s="426"/>
      <c r="H21" s="421"/>
      <c r="I21" s="111"/>
    </row>
    <row r="22" spans="1:9">
      <c r="A22" s="110"/>
      <c r="B22" s="427"/>
      <c r="C22" s="428"/>
      <c r="D22" s="428"/>
      <c r="E22" s="429"/>
      <c r="F22" s="429"/>
      <c r="G22" s="429"/>
      <c r="H22" s="430"/>
      <c r="I22" s="111"/>
    </row>
    <row r="23" spans="1:9" ht="21.75" customHeight="1" thickBot="1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10" zoomScaleNormal="110" workbookViewId="0">
      <selection activeCell="A4" sqref="A4:B4"/>
    </sheetView>
  </sheetViews>
  <sheetFormatPr defaultColWidth="9.140625" defaultRowHeight="12.75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1, שנת 2021</v>
      </c>
    </row>
    <row r="3" spans="1:15" ht="17.25" customHeight="1" thickTop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3</v>
      </c>
    </row>
    <row r="4" spans="1:15" ht="17.25" customHeight="1" thickTop="1">
      <c r="A4" s="600" t="s">
        <v>584</v>
      </c>
      <c r="B4" s="600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31</v>
      </c>
    </row>
    <row r="5" spans="1:15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מרץ</v>
      </c>
    </row>
    <row r="6" spans="1:15" ht="18" customHeight="1">
      <c r="A6" s="43"/>
      <c r="B6" s="601" t="s">
        <v>737</v>
      </c>
      <c r="C6" s="602"/>
      <c r="D6" s="602"/>
      <c r="E6" s="602"/>
      <c r="F6" s="602"/>
      <c r="G6" s="602"/>
      <c r="H6" s="602"/>
      <c r="I6" s="603"/>
      <c r="J6" s="44"/>
    </row>
    <row r="7" spans="1:15">
      <c r="A7" s="43"/>
      <c r="B7" s="604"/>
      <c r="C7" s="605"/>
      <c r="D7" s="605"/>
      <c r="E7" s="605"/>
      <c r="F7" s="605"/>
      <c r="G7" s="605"/>
      <c r="H7" s="605"/>
      <c r="I7" s="606"/>
      <c r="J7" s="44"/>
    </row>
    <row r="8" spans="1:15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>
      <c r="A9" s="43"/>
      <c r="B9" s="607" t="s">
        <v>738</v>
      </c>
      <c r="C9" s="598"/>
      <c r="D9" s="608" t="s">
        <v>975</v>
      </c>
      <c r="E9" s="609"/>
      <c r="F9" s="609"/>
      <c r="G9" s="609"/>
      <c r="H9" s="610"/>
      <c r="I9" s="165"/>
      <c r="J9" s="44"/>
    </row>
    <row r="10" spans="1:15" ht="6.95" customHeight="1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>
      <c r="A11" s="43"/>
      <c r="B11" s="611" t="s">
        <v>739</v>
      </c>
      <c r="C11" s="598"/>
      <c r="D11" s="168">
        <v>2021</v>
      </c>
      <c r="E11" s="164"/>
      <c r="F11" s="598" t="s">
        <v>740</v>
      </c>
      <c r="G11" s="598"/>
      <c r="H11" s="598"/>
      <c r="I11" s="599"/>
      <c r="J11" s="44"/>
    </row>
    <row r="12" spans="1:15" ht="6.95" customHeight="1">
      <c r="A12" s="43"/>
      <c r="B12" s="166"/>
      <c r="C12" s="164"/>
      <c r="D12" s="164"/>
      <c r="E12" s="164"/>
      <c r="F12" s="598"/>
      <c r="G12" s="598"/>
      <c r="H12" s="598"/>
      <c r="I12" s="599"/>
      <c r="J12" s="44"/>
    </row>
    <row r="13" spans="1:15">
      <c r="A13" s="43"/>
      <c r="B13" s="611" t="s">
        <v>590</v>
      </c>
      <c r="C13" s="598"/>
      <c r="D13" s="169">
        <f>D11-1</f>
        <v>2020</v>
      </c>
      <c r="E13" s="164"/>
      <c r="F13" s="598" t="s">
        <v>740</v>
      </c>
      <c r="G13" s="598"/>
      <c r="H13" s="598"/>
      <c r="I13" s="599"/>
      <c r="J13" s="44"/>
    </row>
    <row r="14" spans="1:15" ht="6.95" customHeight="1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>
      <c r="A15" s="43"/>
      <c r="B15" s="611" t="s">
        <v>741</v>
      </c>
      <c r="C15" s="598"/>
      <c r="D15" s="169">
        <f>D11-2</f>
        <v>2019</v>
      </c>
      <c r="E15" s="164"/>
      <c r="F15" s="598" t="s">
        <v>740</v>
      </c>
      <c r="G15" s="598"/>
      <c r="H15" s="598"/>
      <c r="I15" s="599"/>
      <c r="J15" s="44"/>
    </row>
    <row r="16" spans="1:15" ht="6.95" customHeight="1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>
      <c r="A17" s="43"/>
      <c r="B17" s="611" t="s">
        <v>742</v>
      </c>
      <c r="C17" s="598"/>
      <c r="D17" s="164">
        <v>1.01</v>
      </c>
      <c r="E17" s="164"/>
      <c r="F17" s="598" t="s">
        <v>743</v>
      </c>
      <c r="G17" s="598"/>
      <c r="H17" s="598"/>
      <c r="I17" s="599"/>
      <c r="J17" s="44"/>
    </row>
    <row r="18" spans="1:10" ht="8.25" hidden="1" customHeight="1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>
      <c r="A19" s="43"/>
      <c r="B19" s="611" t="s">
        <v>744</v>
      </c>
      <c r="C19" s="598"/>
      <c r="D19" s="164">
        <v>31.12</v>
      </c>
      <c r="E19" s="164"/>
      <c r="F19" s="598" t="s">
        <v>743</v>
      </c>
      <c r="G19" s="598"/>
      <c r="H19" s="598"/>
      <c r="I19" s="599"/>
      <c r="J19" s="44"/>
    </row>
    <row r="20" spans="1:10">
      <c r="A20" s="43"/>
      <c r="B20" s="166" t="s">
        <v>745</v>
      </c>
      <c r="C20" s="164"/>
      <c r="D20" s="170">
        <v>1</v>
      </c>
      <c r="E20" s="164"/>
      <c r="F20" s="164"/>
      <c r="G20" s="164"/>
      <c r="H20" s="164"/>
      <c r="I20" s="167"/>
      <c r="J20" s="44"/>
    </row>
    <row r="21" spans="1:10" ht="7.5" customHeight="1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>
      <c r="A22" s="43"/>
      <c r="B22" s="166" t="s">
        <v>746</v>
      </c>
      <c r="C22" s="164"/>
      <c r="D22" s="614" t="s">
        <v>974</v>
      </c>
      <c r="E22" s="615"/>
      <c r="F22" s="616"/>
      <c r="G22" s="164"/>
      <c r="H22" s="164"/>
      <c r="I22" s="167"/>
      <c r="J22" s="44"/>
    </row>
    <row r="23" spans="1:10" ht="8.25" customHeight="1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>
      <c r="A24" s="43"/>
      <c r="B24" s="166" t="s">
        <v>747</v>
      </c>
      <c r="C24" s="164"/>
      <c r="D24" s="164"/>
      <c r="E24" s="164"/>
      <c r="F24" s="164"/>
      <c r="G24" s="171" t="s">
        <v>579</v>
      </c>
      <c r="H24" s="164"/>
      <c r="I24" s="167"/>
      <c r="J24" s="44"/>
    </row>
    <row r="25" spans="1:10" ht="8.25" customHeight="1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>
      <c r="A26" s="43"/>
      <c r="B26" s="172" t="s">
        <v>748</v>
      </c>
      <c r="C26" s="164"/>
      <c r="D26" s="164"/>
      <c r="E26" s="164"/>
      <c r="F26" s="173"/>
      <c r="G26" s="174"/>
      <c r="H26" s="164"/>
      <c r="I26" s="167"/>
      <c r="J26" s="44"/>
    </row>
    <row r="27" spans="1:10" ht="8.25" customHeight="1">
      <c r="A27" s="43"/>
      <c r="B27" s="172"/>
      <c r="C27" s="164"/>
      <c r="D27" s="164"/>
      <c r="E27" s="164"/>
      <c r="F27" s="173"/>
      <c r="G27" s="524"/>
      <c r="H27" s="164"/>
      <c r="I27" s="167"/>
      <c r="J27" s="44"/>
    </row>
    <row r="28" spans="1:10">
      <c r="A28" s="43"/>
      <c r="B28" s="172" t="s">
        <v>846</v>
      </c>
      <c r="C28" s="164"/>
      <c r="D28" s="164"/>
      <c r="E28" s="164"/>
      <c r="F28" s="173"/>
      <c r="G28" s="171" t="s">
        <v>579</v>
      </c>
      <c r="H28" s="164"/>
      <c r="I28" s="167"/>
      <c r="J28" s="44"/>
    </row>
    <row r="29" spans="1:10" ht="8.25" customHeight="1">
      <c r="A29" s="43"/>
      <c r="B29" s="172"/>
      <c r="C29" s="164"/>
      <c r="D29" s="164"/>
      <c r="E29" s="164"/>
      <c r="F29" s="173"/>
      <c r="G29" s="526"/>
      <c r="H29" s="164"/>
      <c r="I29" s="167"/>
      <c r="J29" s="44"/>
    </row>
    <row r="30" spans="1:10">
      <c r="A30" s="43"/>
      <c r="B30" s="172" t="s">
        <v>848</v>
      </c>
      <c r="C30" s="164"/>
      <c r="D30" s="164"/>
      <c r="E30" s="164"/>
      <c r="F30" s="173"/>
      <c r="G30" s="612" t="s">
        <v>832</v>
      </c>
      <c r="H30" s="613"/>
      <c r="I30" s="167"/>
      <c r="J30" s="44"/>
    </row>
    <row r="31" spans="1:10">
      <c r="A31" s="43"/>
      <c r="B31" s="175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/>
    <row r="36" spans="1:1">
      <c r="A36" s="58"/>
    </row>
  </sheetData>
  <sheetProtection password="83C1" sheet="1" objects="1" scenarios="1"/>
  <mergeCells count="17">
    <mergeCell ref="G30:H30"/>
    <mergeCell ref="B19:C19"/>
    <mergeCell ref="F19:I19"/>
    <mergeCell ref="D22:F22"/>
    <mergeCell ref="B15:C15"/>
    <mergeCell ref="F15:I15"/>
    <mergeCell ref="B17:C17"/>
    <mergeCell ref="F17:I17"/>
    <mergeCell ref="F13:I13"/>
    <mergeCell ref="A4:B4"/>
    <mergeCell ref="B6:I7"/>
    <mergeCell ref="B9:C9"/>
    <mergeCell ref="D9:H9"/>
    <mergeCell ref="B11:C11"/>
    <mergeCell ref="F11:I11"/>
    <mergeCell ref="F12:I12"/>
    <mergeCell ref="B13:C13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/>
  <cols>
    <col min="1" max="1" width="4.5703125" style="415" customWidth="1"/>
    <col min="2" max="2" width="12.85546875" style="42" customWidth="1"/>
    <col min="3" max="3" width="29.85546875" style="42" customWidth="1"/>
    <col min="4" max="4" width="5.42578125" style="416" customWidth="1"/>
    <col min="5" max="5" width="10" style="223" customWidth="1"/>
    <col min="6" max="6" width="13" style="42" customWidth="1"/>
    <col min="7" max="7" width="26" style="42" customWidth="1"/>
    <col min="8" max="8" width="5.28515625" style="457" customWidth="1"/>
    <col min="9" max="9" width="10" style="223" customWidth="1"/>
    <col min="10" max="10" width="8.7109375" style="42" customWidth="1"/>
    <col min="11" max="11" width="10" style="223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>
      <c r="A1" s="59" t="s">
        <v>584</v>
      </c>
      <c r="B1" s="278"/>
      <c r="C1" s="278"/>
      <c r="D1" s="279"/>
      <c r="E1" s="280"/>
      <c r="F1" s="278"/>
      <c r="G1" s="278"/>
      <c r="H1" s="446"/>
      <c r="I1" s="280"/>
      <c r="J1" s="278"/>
      <c r="K1" s="280"/>
      <c r="L1" s="278"/>
      <c r="M1" s="278"/>
      <c r="N1" s="281"/>
    </row>
    <row r="2" spans="1:16" ht="29.25" customHeight="1">
      <c r="A2" s="617">
        <f>'הגדרות כלליות'!D6</f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78"/>
      <c r="N2" s="281"/>
    </row>
    <row r="3" spans="1:16" ht="36" hidden="1" customHeight="1">
      <c r="A3" s="282"/>
      <c r="B3" s="283" t="s">
        <v>905</v>
      </c>
      <c r="C3" s="283" t="s">
        <v>906</v>
      </c>
      <c r="D3" s="284"/>
      <c r="E3" s="285" t="s">
        <v>907</v>
      </c>
      <c r="F3" s="283">
        <f>Shana</f>
        <v>2021</v>
      </c>
      <c r="G3" s="283">
        <f>ShanaKodemet</f>
        <v>2020</v>
      </c>
      <c r="H3" s="447">
        <f>'הגדרות כלליות'!D12</f>
        <v>0</v>
      </c>
      <c r="I3" s="285" t="s">
        <v>908</v>
      </c>
      <c r="J3" s="283">
        <v>2</v>
      </c>
      <c r="K3" s="285" t="s">
        <v>909</v>
      </c>
      <c r="L3" s="283" t="s">
        <v>579</v>
      </c>
      <c r="M3" s="283"/>
      <c r="N3" s="281"/>
    </row>
    <row r="4" spans="1:16" ht="18.75" customHeight="1">
      <c r="A4" s="618" t="s">
        <v>910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286"/>
      <c r="N4" s="281"/>
    </row>
    <row r="5" spans="1:16" ht="15.75">
      <c r="A5" s="287"/>
      <c r="B5" s="619" t="s">
        <v>911</v>
      </c>
      <c r="C5" s="619"/>
      <c r="D5" s="619"/>
      <c r="E5" s="619"/>
      <c r="F5" s="619"/>
      <c r="G5" s="619"/>
      <c r="H5" s="619"/>
      <c r="I5" s="619"/>
      <c r="J5" s="619" t="s">
        <v>912</v>
      </c>
      <c r="K5" s="619"/>
      <c r="L5" s="619"/>
      <c r="M5" s="288"/>
      <c r="N5" s="281"/>
    </row>
    <row r="6" spans="1:16" ht="12" customHeight="1">
      <c r="A6" s="289"/>
      <c r="B6" s="621" t="s">
        <v>913</v>
      </c>
      <c r="C6" s="621"/>
      <c r="D6" s="621"/>
      <c r="E6" s="622"/>
      <c r="F6" s="623" t="s">
        <v>914</v>
      </c>
      <c r="G6" s="621"/>
      <c r="H6" s="621"/>
      <c r="I6" s="622"/>
      <c r="J6" s="290"/>
      <c r="K6" s="291"/>
      <c r="L6" s="291"/>
      <c r="M6" s="292"/>
      <c r="N6" s="281"/>
    </row>
    <row r="7" spans="1:16">
      <c r="A7" s="293"/>
      <c r="B7" s="45" t="s">
        <v>915</v>
      </c>
      <c r="C7" s="45" t="s">
        <v>684</v>
      </c>
      <c r="D7" s="294" t="s">
        <v>916</v>
      </c>
      <c r="E7" s="295" t="s">
        <v>917</v>
      </c>
      <c r="F7" s="45" t="s">
        <v>915</v>
      </c>
      <c r="G7" s="45" t="s">
        <v>684</v>
      </c>
      <c r="H7" s="448" t="s">
        <v>916</v>
      </c>
      <c r="I7" s="295" t="s">
        <v>917</v>
      </c>
      <c r="J7" s="45" t="s">
        <v>905</v>
      </c>
      <c r="K7" s="295" t="s">
        <v>918</v>
      </c>
      <c r="L7" s="45" t="s">
        <v>577</v>
      </c>
      <c r="M7" s="45" t="s">
        <v>919</v>
      </c>
      <c r="N7" s="281"/>
    </row>
    <row r="8" spans="1:16" ht="39" customHeight="1">
      <c r="A8" s="476">
        <v>1</v>
      </c>
      <c r="B8" s="296" t="s">
        <v>920</v>
      </c>
      <c r="C8" s="296" t="s">
        <v>607</v>
      </c>
      <c r="D8" s="297">
        <f>Shana</f>
        <v>2021</v>
      </c>
      <c r="E8" s="298">
        <f>'תמצית מאזן'!D30</f>
        <v>915629</v>
      </c>
      <c r="F8" s="299" t="s">
        <v>920</v>
      </c>
      <c r="G8" s="296" t="s">
        <v>921</v>
      </c>
      <c r="H8" s="449">
        <f>$F$3</f>
        <v>2021</v>
      </c>
      <c r="I8" s="298">
        <f>'תמצית מאזן'!D55</f>
        <v>915629</v>
      </c>
      <c r="J8" s="300" t="str">
        <f>IF($E8=$I8,$B$3,0)</f>
        <v>תקין</v>
      </c>
      <c r="K8" s="536">
        <f>IF($E8=$I8,0,E8-I8)</f>
        <v>0</v>
      </c>
      <c r="L8" s="301">
        <f>IF($E8=$I8,0,P8)</f>
        <v>0</v>
      </c>
      <c r="M8" s="552"/>
      <c r="N8" s="281"/>
      <c r="P8" s="42" t="s">
        <v>922</v>
      </c>
    </row>
    <row r="9" spans="1:16" ht="36.75" customHeight="1">
      <c r="A9" s="476">
        <v>2</v>
      </c>
      <c r="B9" s="296" t="s">
        <v>920</v>
      </c>
      <c r="C9" s="296" t="s">
        <v>607</v>
      </c>
      <c r="D9" s="297">
        <f>ShanaKodemet</f>
        <v>2020</v>
      </c>
      <c r="E9" s="298">
        <f>'תמצית מאזן'!F30</f>
        <v>741678</v>
      </c>
      <c r="F9" s="302" t="s">
        <v>920</v>
      </c>
      <c r="G9" s="296" t="s">
        <v>921</v>
      </c>
      <c r="H9" s="449">
        <f>$G$3</f>
        <v>2020</v>
      </c>
      <c r="I9" s="298">
        <f>'תמצית מאזן'!F55</f>
        <v>741678</v>
      </c>
      <c r="J9" s="303" t="str">
        <f>IF(E9=I9,"תקין",0)</f>
        <v>תקין</v>
      </c>
      <c r="K9" s="537">
        <f>IF($E9=$I9,0,E9-I9)</f>
        <v>0</v>
      </c>
      <c r="L9" s="304">
        <f>IF($E9=$I9,0,P9)</f>
        <v>0</v>
      </c>
      <c r="M9" s="553"/>
      <c r="N9" s="281"/>
      <c r="P9" s="42" t="s">
        <v>923</v>
      </c>
    </row>
    <row r="10" spans="1:16" ht="39.75" customHeight="1">
      <c r="A10" s="476">
        <v>3</v>
      </c>
      <c r="B10" s="296" t="s">
        <v>920</v>
      </c>
      <c r="C10" s="296" t="s">
        <v>924</v>
      </c>
      <c r="D10" s="297">
        <f>$F$3</f>
        <v>2021</v>
      </c>
      <c r="E10" s="298">
        <f>'תמצית מאזן'!D17</f>
        <v>126050</v>
      </c>
      <c r="F10" s="302" t="s">
        <v>920</v>
      </c>
      <c r="G10" s="296" t="str">
        <f>IF('תמצית מאזן'!$F$20&lt;&gt;0,'תמצית מאזן'!$B$20,'תמצית מאזן'!$B$47)</f>
        <v>סה"כ גרעון מצטבר בתקציב הרגיל</v>
      </c>
      <c r="H10" s="449">
        <f>$G$3</f>
        <v>2020</v>
      </c>
      <c r="I10" s="298">
        <f>IF(E10&lt;&gt;0,IF('תמצית מאזן'!F20&lt;&gt;0,'תמצית מאזן'!F20,'תמצית מאזן'!F47*(-1)),0)</f>
        <v>126050</v>
      </c>
      <c r="J10" s="303" t="str">
        <f>IF($E10=$I10,"תקין",0)</f>
        <v>תקין</v>
      </c>
      <c r="K10" s="537">
        <f>IF($E10=$I10,0,$E10-$I10)</f>
        <v>0</v>
      </c>
      <c r="L10" s="304">
        <f>IF(E10&lt;&gt;0,IF($E10=$I10,0,P10),$E$3)</f>
        <v>0</v>
      </c>
      <c r="M10" s="553"/>
      <c r="N10" s="281"/>
      <c r="P10" s="42" t="s">
        <v>925</v>
      </c>
    </row>
    <row r="11" spans="1:16" ht="32.25" customHeight="1">
      <c r="A11" s="476">
        <v>4</v>
      </c>
      <c r="B11" s="296" t="s">
        <v>920</v>
      </c>
      <c r="C11" s="296" t="s">
        <v>926</v>
      </c>
      <c r="D11" s="297">
        <f>$F$3</f>
        <v>2021</v>
      </c>
      <c r="E11" s="298">
        <f>'תמצית מאזן'!D45</f>
        <v>0</v>
      </c>
      <c r="F11" s="302" t="s">
        <v>920</v>
      </c>
      <c r="G11" s="296" t="str">
        <f>IF('תמצית מאזן'!$F$47&lt;&gt;0,'תמצית מאזן'!$B$47,'תמצית מאזן'!$B$20)</f>
        <v>סה"כ גרעון מצטבר בתקציב הרגיל</v>
      </c>
      <c r="H11" s="449">
        <f>$G$3</f>
        <v>2020</v>
      </c>
      <c r="I11" s="298">
        <f>IF(E11&lt;&gt;0,IF('תמצית מאזן'!F47&lt;&gt;0,'תמצית מאזן'!F47,'תמצית מאזן'!F20*(-1)),0)</f>
        <v>0</v>
      </c>
      <c r="J11" s="303" t="str">
        <f>IF($E11=$I11,"תקין",0)</f>
        <v>תקין</v>
      </c>
      <c r="K11" s="537">
        <f>IF($E11=$I11,0,$E11-$I11)</f>
        <v>0</v>
      </c>
      <c r="L11" s="304" t="str">
        <f>IF(E11&lt;&gt;0,IF($E11=$I11,0,P11),$E$3)</f>
        <v>לא רלוונטי</v>
      </c>
      <c r="M11" s="553"/>
      <c r="N11" s="281"/>
      <c r="P11" s="42" t="s">
        <v>927</v>
      </c>
    </row>
    <row r="12" spans="1:16" ht="54" customHeight="1">
      <c r="A12" s="476">
        <v>5</v>
      </c>
      <c r="B12" s="296" t="s">
        <v>920</v>
      </c>
      <c r="C12" s="296" t="s">
        <v>928</v>
      </c>
      <c r="D12" s="297">
        <f>$F$3</f>
        <v>2021</v>
      </c>
      <c r="E12" s="298">
        <f>'תמצית מאזן'!D18</f>
        <v>-8200</v>
      </c>
      <c r="F12" s="302" t="s">
        <v>920</v>
      </c>
      <c r="G12" s="296" t="s">
        <v>929</v>
      </c>
      <c r="H12" s="449">
        <f>$F$3</f>
        <v>2021</v>
      </c>
      <c r="I12" s="298">
        <f>'תמצית מאזן'!D66</f>
        <v>8200</v>
      </c>
      <c r="J12" s="303" t="str">
        <f>IF(ABS($E12) =$I12,"תקין",0)</f>
        <v>תקין</v>
      </c>
      <c r="K12" s="537">
        <f>IF(ABS($E12) = $I12,0,ABS($E12)-$I12)</f>
        <v>0</v>
      </c>
      <c r="L12" s="304">
        <f>IF(ABS($E12) = $I12,0,P12)</f>
        <v>0</v>
      </c>
      <c r="M12" s="553"/>
      <c r="N12" s="281"/>
      <c r="P12" s="42" t="s">
        <v>930</v>
      </c>
    </row>
    <row r="13" spans="1:16" ht="52.5" customHeight="1">
      <c r="A13" s="476">
        <v>6</v>
      </c>
      <c r="B13" s="296" t="s">
        <v>920</v>
      </c>
      <c r="C13" s="296" t="s">
        <v>928</v>
      </c>
      <c r="D13" s="297">
        <f>ShanaKodemet</f>
        <v>2020</v>
      </c>
      <c r="E13" s="298">
        <f>'תמצית מאזן'!F18</f>
        <v>-14000</v>
      </c>
      <c r="F13" s="302" t="s">
        <v>920</v>
      </c>
      <c r="G13" s="296" t="s">
        <v>929</v>
      </c>
      <c r="H13" s="449">
        <f>$G$3</f>
        <v>2020</v>
      </c>
      <c r="I13" s="298">
        <f>'תמצית מאזן'!F66</f>
        <v>14000</v>
      </c>
      <c r="J13" s="303" t="str">
        <f>IF(ABS($E13) =$I13,"תקין",0)</f>
        <v>תקין</v>
      </c>
      <c r="K13" s="537">
        <f>IF(ABS($E13) = $I13,0,ABS($E13)-$I13)</f>
        <v>0</v>
      </c>
      <c r="L13" s="304">
        <f>IF(ABS($E13) = $I13,0,P13)</f>
        <v>0</v>
      </c>
      <c r="M13" s="553"/>
      <c r="N13" s="281"/>
      <c r="P13" s="42" t="s">
        <v>931</v>
      </c>
    </row>
    <row r="14" spans="1:16" ht="36.75" customHeight="1">
      <c r="A14" s="476">
        <v>7</v>
      </c>
      <c r="B14" s="296" t="s">
        <v>920</v>
      </c>
      <c r="C14" s="296" t="s">
        <v>932</v>
      </c>
      <c r="D14" s="297">
        <f>$F$3</f>
        <v>2021</v>
      </c>
      <c r="E14" s="298">
        <f>'תמצית מאזן'!D19</f>
        <v>4629</v>
      </c>
      <c r="F14" s="302" t="s">
        <v>933</v>
      </c>
      <c r="G14" s="296" t="s">
        <v>934</v>
      </c>
      <c r="H14" s="449">
        <f>$F$3</f>
        <v>2021</v>
      </c>
      <c r="I14" s="298">
        <f>IF(E14&lt;&gt;0,'תקציב רגיל'!G57*(-1),0)</f>
        <v>4629</v>
      </c>
      <c r="J14" s="303" t="str">
        <f>IF(E14&lt;&gt;0,IF(E14=I14,$B$3,0),$E$3)</f>
        <v>תקין</v>
      </c>
      <c r="K14" s="537">
        <f>IF($E14=$I14,0,$E14-$I14)</f>
        <v>0</v>
      </c>
      <c r="L14" s="304">
        <f>IF(E14&lt;&gt;0,IF($E14=$I14,0,$P$14),$E$3)</f>
        <v>0</v>
      </c>
      <c r="M14" s="553"/>
      <c r="N14" s="281"/>
      <c r="P14" s="42" t="s">
        <v>935</v>
      </c>
    </row>
    <row r="15" spans="1:16" ht="41.25" customHeight="1">
      <c r="A15" s="476">
        <v>8</v>
      </c>
      <c r="B15" s="296" t="s">
        <v>920</v>
      </c>
      <c r="C15" s="296" t="s">
        <v>936</v>
      </c>
      <c r="D15" s="297">
        <f>$F$3</f>
        <v>2021</v>
      </c>
      <c r="E15" s="298">
        <f>'תמצית מאזן'!D46</f>
        <v>0</v>
      </c>
      <c r="F15" s="302" t="s">
        <v>933</v>
      </c>
      <c r="G15" s="296" t="s">
        <v>937</v>
      </c>
      <c r="H15" s="449">
        <f>$F$3</f>
        <v>2021</v>
      </c>
      <c r="I15" s="298">
        <f>IF(E15&lt;&gt;0,'תקציב רגיל'!G57,0)</f>
        <v>0</v>
      </c>
      <c r="J15" s="303" t="str">
        <f>IF(E15&lt;&gt;0,IF(E15=I15,$B$3,0),$E$3)</f>
        <v>לא רלוונטי</v>
      </c>
      <c r="K15" s="537">
        <f>IF($E15=$I15,0,$E15-$I15)</f>
        <v>0</v>
      </c>
      <c r="L15" s="304" t="str">
        <f>IF(E15&lt;&gt;0,IF($E15=$I15,0,$P$15),$E$3)</f>
        <v>לא רלוונטי</v>
      </c>
      <c r="M15" s="553"/>
      <c r="N15" s="281"/>
      <c r="P15" s="42" t="s">
        <v>938</v>
      </c>
    </row>
    <row r="16" spans="1:16">
      <c r="A16" s="476">
        <v>9</v>
      </c>
      <c r="B16" s="296" t="s">
        <v>920</v>
      </c>
      <c r="C16" s="296" t="s">
        <v>939</v>
      </c>
      <c r="D16" s="297">
        <f>$F$3</f>
        <v>2021</v>
      </c>
      <c r="E16" s="298">
        <f>'תמצית מאזן'!D41</f>
        <v>247749</v>
      </c>
      <c r="F16" s="302" t="s">
        <v>920</v>
      </c>
      <c r="G16" s="296" t="s">
        <v>639</v>
      </c>
      <c r="H16" s="449">
        <f>$F$3</f>
        <v>2021</v>
      </c>
      <c r="I16" s="298">
        <f>'תמצית מאזן'!D80</f>
        <v>247749</v>
      </c>
      <c r="J16" s="303" t="str">
        <f>IF($E16=$I16,"תקין",0)</f>
        <v>תקין</v>
      </c>
      <c r="K16" s="537">
        <f>IF($E16=$I16,0,$E16-$I16)</f>
        <v>0</v>
      </c>
      <c r="L16" s="304">
        <f>IF($E16=$I16,0,$P$16)</f>
        <v>0</v>
      </c>
      <c r="M16" s="553"/>
      <c r="N16" s="281"/>
      <c r="P16" s="42" t="s">
        <v>940</v>
      </c>
    </row>
    <row r="17" spans="1:16" ht="51" customHeight="1">
      <c r="A17" s="476">
        <v>10</v>
      </c>
      <c r="B17" s="296" t="s">
        <v>920</v>
      </c>
      <c r="C17" s="296" t="s">
        <v>939</v>
      </c>
      <c r="D17" s="297">
        <f>ShanaKodemet</f>
        <v>2020</v>
      </c>
      <c r="E17" s="298">
        <f>'תמצית מאזן'!F41</f>
        <v>104764</v>
      </c>
      <c r="F17" s="302" t="s">
        <v>920</v>
      </c>
      <c r="G17" s="296" t="s">
        <v>639</v>
      </c>
      <c r="H17" s="449">
        <f>ShanaKodemet</f>
        <v>2020</v>
      </c>
      <c r="I17" s="298">
        <f>'תמצית מאזן'!F80</f>
        <v>104764</v>
      </c>
      <c r="J17" s="303" t="str">
        <f>IF($E17=$I17,"תקין",0)</f>
        <v>תקין</v>
      </c>
      <c r="K17" s="537">
        <f>IF($E17=$I17,0,$E17-$I17)</f>
        <v>0</v>
      </c>
      <c r="L17" s="304">
        <f>IF($E17=$I17,0,$P$17)</f>
        <v>0</v>
      </c>
      <c r="M17" s="553"/>
      <c r="N17" s="305"/>
      <c r="P17" s="42" t="s">
        <v>941</v>
      </c>
    </row>
    <row r="18" spans="1:16" ht="36" customHeight="1">
      <c r="A18" s="476">
        <v>15</v>
      </c>
      <c r="B18" s="296" t="s">
        <v>920</v>
      </c>
      <c r="C18" s="296" t="s">
        <v>944</v>
      </c>
      <c r="D18" s="297">
        <f>$F$3</f>
        <v>2021</v>
      </c>
      <c r="E18" s="298">
        <f>'תמצית מאזן'!D59</f>
        <v>114247</v>
      </c>
      <c r="F18" s="302"/>
      <c r="G18" s="296"/>
      <c r="H18" s="449"/>
      <c r="I18" s="298"/>
      <c r="J18" s="303" t="str">
        <f>IF(OR($E18=$I$3, $E18&lt;&gt;0),$B$3,0)</f>
        <v>תקין</v>
      </c>
      <c r="K18" s="537"/>
      <c r="L18" s="304">
        <f>IF(E18=0,$P$18,0)</f>
        <v>0</v>
      </c>
      <c r="M18" s="553"/>
      <c r="N18" s="281"/>
      <c r="P18" s="42" t="s">
        <v>945</v>
      </c>
    </row>
    <row r="19" spans="1:16" ht="36" customHeight="1">
      <c r="A19" s="476">
        <v>16</v>
      </c>
      <c r="B19" s="296" t="s">
        <v>920</v>
      </c>
      <c r="C19" s="296" t="s">
        <v>944</v>
      </c>
      <c r="D19" s="297">
        <f>ShanaKodemet</f>
        <v>2020</v>
      </c>
      <c r="E19" s="298">
        <f>'תמצית מאזן'!F59</f>
        <v>119471</v>
      </c>
      <c r="F19" s="302"/>
      <c r="G19" s="296"/>
      <c r="H19" s="449"/>
      <c r="I19" s="298"/>
      <c r="J19" s="306" t="str">
        <f>IF(OR($E19=$I$3, $E19&lt;&gt;0),$B$3,0)</f>
        <v>תקין</v>
      </c>
      <c r="K19" s="536"/>
      <c r="L19" s="307">
        <f>IF(E19=0,$P$19,0)</f>
        <v>0</v>
      </c>
      <c r="M19" s="554"/>
      <c r="N19" s="281"/>
      <c r="P19" s="42" t="s">
        <v>946</v>
      </c>
    </row>
    <row r="20" spans="1:16" ht="36" customHeight="1">
      <c r="A20" s="476">
        <v>17</v>
      </c>
      <c r="B20" s="296" t="s">
        <v>920</v>
      </c>
      <c r="C20" s="296" t="s">
        <v>613</v>
      </c>
      <c r="D20" s="297">
        <f>$F$3</f>
        <v>2021</v>
      </c>
      <c r="E20" s="298">
        <f>'תמצית מאזן'!D38</f>
        <v>59924</v>
      </c>
      <c r="F20" s="302" t="s">
        <v>947</v>
      </c>
      <c r="G20" s="296" t="s">
        <v>948</v>
      </c>
      <c r="H20" s="449">
        <f>$F$3</f>
        <v>2021</v>
      </c>
      <c r="I20" s="298">
        <f>'גבייה וחייבים'!C24</f>
        <v>20248</v>
      </c>
      <c r="J20" s="306" t="str">
        <f>IF($E20&gt;=$I20,"תקין",0)</f>
        <v>תקין</v>
      </c>
      <c r="K20" s="536">
        <f>IF($E20&gt;=$I20,0,$E20-$I20)</f>
        <v>0</v>
      </c>
      <c r="L20" s="307">
        <f>IF($E20&gt;=$I20,0,$P$20)</f>
        <v>0</v>
      </c>
      <c r="M20" s="556"/>
      <c r="N20" s="281"/>
      <c r="P20" s="42" t="s">
        <v>949</v>
      </c>
    </row>
    <row r="21" spans="1:16" ht="36" customHeight="1">
      <c r="A21" s="476">
        <v>18</v>
      </c>
      <c r="B21" s="296" t="s">
        <v>920</v>
      </c>
      <c r="C21" s="296" t="s">
        <v>597</v>
      </c>
      <c r="D21" s="297">
        <f>$F$3</f>
        <v>2021</v>
      </c>
      <c r="E21" s="298">
        <f>'תמצית מאזן'!D14</f>
        <v>160483</v>
      </c>
      <c r="F21" s="302" t="s">
        <v>920</v>
      </c>
      <c r="G21" s="296" t="s">
        <v>616</v>
      </c>
      <c r="H21" s="449">
        <f>$F$3</f>
        <v>2021</v>
      </c>
      <c r="I21" s="298">
        <f>'תמצית מאזן'!D43</f>
        <v>160483</v>
      </c>
      <c r="J21" s="306" t="str">
        <f>IF($E21=$I21,"תקין",0)</f>
        <v>תקין</v>
      </c>
      <c r="K21" s="536">
        <f>IF($E21=$I21,0,$E21-$I21)</f>
        <v>0</v>
      </c>
      <c r="L21" s="307">
        <f>IF($E21=$I21,0,$P$21)</f>
        <v>0</v>
      </c>
      <c r="M21" s="554"/>
      <c r="N21" s="281"/>
      <c r="P21" s="42" t="s">
        <v>950</v>
      </c>
    </row>
    <row r="22" spans="1:16" ht="36" customHeight="1">
      <c r="A22" s="476">
        <v>19</v>
      </c>
      <c r="B22" s="296" t="s">
        <v>920</v>
      </c>
      <c r="C22" s="296" t="s">
        <v>597</v>
      </c>
      <c r="D22" s="297">
        <f>ShanaKodemet</f>
        <v>2020</v>
      </c>
      <c r="E22" s="298">
        <f>'תמצית מאזן'!F14</f>
        <v>160499</v>
      </c>
      <c r="F22" s="302" t="s">
        <v>920</v>
      </c>
      <c r="G22" s="296" t="s">
        <v>616</v>
      </c>
      <c r="H22" s="449">
        <f>ShanaKodemet</f>
        <v>2020</v>
      </c>
      <c r="I22" s="298">
        <f>'תמצית מאזן'!F43</f>
        <v>160499</v>
      </c>
      <c r="J22" s="306" t="str">
        <f>IF($E22=$I22,"תקין",0)</f>
        <v>תקין</v>
      </c>
      <c r="K22" s="536">
        <f>IF($E22=$I22,0,$E22-$I22)</f>
        <v>0</v>
      </c>
      <c r="L22" s="307">
        <f>IF($E22=$I22,0,$P$22)</f>
        <v>0</v>
      </c>
      <c r="M22" s="554"/>
      <c r="N22" s="281"/>
      <c r="P22" s="42" t="s">
        <v>951</v>
      </c>
    </row>
    <row r="23" spans="1:16" ht="36" customHeight="1">
      <c r="A23" s="476">
        <v>20</v>
      </c>
      <c r="B23" s="296" t="s">
        <v>920</v>
      </c>
      <c r="C23" s="296" t="s">
        <v>602</v>
      </c>
      <c r="D23" s="297">
        <f>$F$3</f>
        <v>2021</v>
      </c>
      <c r="E23" s="298">
        <f>'תמצית מאזן'!D20</f>
        <v>122479</v>
      </c>
      <c r="F23" s="302" t="s">
        <v>920</v>
      </c>
      <c r="G23" s="296" t="s">
        <v>620</v>
      </c>
      <c r="H23" s="449">
        <f>$F$3</f>
        <v>2021</v>
      </c>
      <c r="I23" s="298">
        <f>'תמצית מאזן'!D47</f>
        <v>0</v>
      </c>
      <c r="J23" s="306" t="str">
        <f>IF(OR(AND($E$23=0,$I$23&lt;&gt;0),AND($E$23&lt;&gt;0,$I$23=0),AND($E$23=0,$I$23=0)),$B$3,0)</f>
        <v>תקין</v>
      </c>
      <c r="K23" s="536"/>
      <c r="L23" s="307" t="str">
        <f>IF(AND(E23&lt;&gt;0,I23&lt;&gt;0),P23,"")</f>
        <v/>
      </c>
      <c r="M23" s="554"/>
      <c r="N23" s="281"/>
      <c r="P23" s="42" t="s">
        <v>952</v>
      </c>
    </row>
    <row r="24" spans="1:16" ht="36" customHeight="1">
      <c r="A24" s="476">
        <v>21</v>
      </c>
      <c r="B24" s="296" t="s">
        <v>920</v>
      </c>
      <c r="C24" s="296" t="s">
        <v>602</v>
      </c>
      <c r="D24" s="297">
        <f>ShanaKodemet</f>
        <v>2020</v>
      </c>
      <c r="E24" s="298">
        <f>'תמצית מאזן'!F20</f>
        <v>126050</v>
      </c>
      <c r="F24" s="302" t="s">
        <v>920</v>
      </c>
      <c r="G24" s="296" t="s">
        <v>620</v>
      </c>
      <c r="H24" s="449">
        <f>ShanaKodemet</f>
        <v>2020</v>
      </c>
      <c r="I24" s="298">
        <f>'תמצית מאזן'!F47</f>
        <v>0</v>
      </c>
      <c r="J24" s="306" t="str">
        <f>IF(OR(AND($E$24=0,$I$24&lt;&gt;0),AND($E$24&lt;&gt;0,$I$24=0),AND($E$24=0,$I$24=0)),$B$3,0)</f>
        <v>תקין</v>
      </c>
      <c r="K24" s="536"/>
      <c r="L24" s="307" t="str">
        <f>IF(AND(E24&lt;&gt;0,I24&lt;&gt;0),P24,"")</f>
        <v/>
      </c>
      <c r="M24" s="554"/>
      <c r="N24" s="281"/>
      <c r="P24" s="42" t="s">
        <v>953</v>
      </c>
    </row>
    <row r="25" spans="1:16" ht="36" customHeight="1">
      <c r="A25" s="476">
        <v>22</v>
      </c>
      <c r="B25" s="296" t="s">
        <v>920</v>
      </c>
      <c r="C25" s="296" t="s">
        <v>954</v>
      </c>
      <c r="D25" s="297">
        <f>$F$3</f>
        <v>2021</v>
      </c>
      <c r="E25" s="298">
        <f>'תמצית מאזן'!D82</f>
        <v>34171</v>
      </c>
      <c r="F25" s="302" t="s">
        <v>920</v>
      </c>
      <c r="G25" s="296" t="s">
        <v>955</v>
      </c>
      <c r="H25" s="449">
        <f>$F$3</f>
        <v>2021</v>
      </c>
      <c r="I25" s="298">
        <f>'תמצית מאזן'!D36</f>
        <v>79857</v>
      </c>
      <c r="J25" s="306" t="str">
        <f>IF($E25&lt;$I25,$B$3,"")</f>
        <v>תקין</v>
      </c>
      <c r="K25" s="536" t="str">
        <f>IF($E25&lt;$I25,"",$E25-$I25)</f>
        <v/>
      </c>
      <c r="L25" s="307" t="str">
        <f>IF($E25&lt;$I25,"",$P$25)</f>
        <v/>
      </c>
      <c r="M25" s="554"/>
      <c r="N25" s="281"/>
      <c r="P25" s="42" t="s">
        <v>956</v>
      </c>
    </row>
    <row r="26" spans="1:16" ht="36" customHeight="1">
      <c r="A26" s="476">
        <v>23</v>
      </c>
      <c r="B26" s="296" t="s">
        <v>920</v>
      </c>
      <c r="C26" s="296" t="s">
        <v>957</v>
      </c>
      <c r="D26" s="297">
        <f>$F$3</f>
        <v>2021</v>
      </c>
      <c r="E26" s="298">
        <f>'תמצית מאזן'!D63</f>
        <v>8200</v>
      </c>
      <c r="F26" s="302" t="s">
        <v>933</v>
      </c>
      <c r="G26" s="296" t="s">
        <v>659</v>
      </c>
      <c r="H26" s="449">
        <f>$F$3</f>
        <v>2021</v>
      </c>
      <c r="I26" s="298">
        <f>'תקציב רגיל'!G28</f>
        <v>8200</v>
      </c>
      <c r="J26" s="306" t="str">
        <f>IF($E26=$I26,$B$3,"")</f>
        <v>תקין</v>
      </c>
      <c r="K26" s="536" t="str">
        <f>IF($E26=$I26,"",$E26-$I26)</f>
        <v/>
      </c>
      <c r="L26" s="307" t="str">
        <f>IF($E26=$I26,"",$P$26)</f>
        <v/>
      </c>
      <c r="M26" s="554"/>
      <c r="N26" s="281"/>
      <c r="P26" s="42" t="s">
        <v>958</v>
      </c>
    </row>
    <row r="27" spans="1:16" ht="36" customHeight="1">
      <c r="A27" s="476">
        <v>24</v>
      </c>
      <c r="B27" s="474" t="s">
        <v>920</v>
      </c>
      <c r="C27" s="474" t="s">
        <v>606</v>
      </c>
      <c r="D27" s="297">
        <f>ShanaKodemet</f>
        <v>2020</v>
      </c>
      <c r="E27" s="298">
        <f>'תמצית מאזן'!F23</f>
        <v>0</v>
      </c>
      <c r="F27" s="475" t="s">
        <v>920</v>
      </c>
      <c r="G27" s="474" t="s">
        <v>603</v>
      </c>
      <c r="H27" s="449">
        <f>$F$3</f>
        <v>2021</v>
      </c>
      <c r="I27" s="298">
        <f>'תמצית מאזן'!D21</f>
        <v>0</v>
      </c>
      <c r="J27" s="306" t="str">
        <f>IF(E27=I27,$B$3,"")</f>
        <v>תקין</v>
      </c>
      <c r="K27" s="536" t="str">
        <f>IF(E27=I27,"",E27-I27)</f>
        <v/>
      </c>
      <c r="L27" s="307" t="str">
        <f>IF(E27=I27,"",P27)</f>
        <v/>
      </c>
      <c r="M27" s="554"/>
      <c r="N27" s="281"/>
      <c r="P27" s="58" t="s">
        <v>477</v>
      </c>
    </row>
    <row r="28" spans="1:16">
      <c r="A28" s="477"/>
      <c r="B28" s="624" t="s">
        <v>959</v>
      </c>
      <c r="C28" s="624"/>
      <c r="D28" s="624"/>
      <c r="E28" s="624"/>
      <c r="F28" s="624"/>
      <c r="G28" s="624"/>
      <c r="H28" s="624"/>
      <c r="I28" s="624"/>
      <c r="J28" s="45"/>
      <c r="K28" s="538"/>
      <c r="L28" s="45"/>
      <c r="M28" s="45"/>
      <c r="N28" s="281"/>
    </row>
    <row r="29" spans="1:16" ht="25.5">
      <c r="A29" s="478">
        <v>25</v>
      </c>
      <c r="B29" s="309" t="s">
        <v>933</v>
      </c>
      <c r="C29" s="309" t="s">
        <v>960</v>
      </c>
      <c r="D29" s="297">
        <f>$F$3</f>
        <v>2021</v>
      </c>
      <c r="E29" s="310">
        <f>'תקציב רגיל'!C30</f>
        <v>924955</v>
      </c>
      <c r="F29" s="302" t="s">
        <v>933</v>
      </c>
      <c r="G29" s="296" t="s">
        <v>961</v>
      </c>
      <c r="H29" s="449">
        <f>$F$3</f>
        <v>2021</v>
      </c>
      <c r="I29" s="298">
        <f>'תקציב רגיל'!C55</f>
        <v>943955</v>
      </c>
      <c r="J29" s="311">
        <f>IF($E29=$I29,"תקין",0)</f>
        <v>0</v>
      </c>
      <c r="K29" s="539">
        <f>IF($E29=$I29,0,$E29-$I29)</f>
        <v>-19000</v>
      </c>
      <c r="L29" s="312" t="str">
        <f>IF($E29=$I29,0,$P$29)</f>
        <v>סה"כ הכנסות שונה מסה"כ הוצאות</v>
      </c>
      <c r="M29" s="555" t="s">
        <v>976</v>
      </c>
      <c r="N29" s="281"/>
      <c r="P29" s="42" t="s">
        <v>962</v>
      </c>
    </row>
    <row r="30" spans="1:16">
      <c r="A30" s="478">
        <v>26</v>
      </c>
      <c r="B30" s="309" t="s">
        <v>933</v>
      </c>
      <c r="C30" s="309" t="s">
        <v>682</v>
      </c>
      <c r="D30" s="297">
        <f>$F$3</f>
        <v>2021</v>
      </c>
      <c r="E30" s="310">
        <f>'תקציב רגיל'!C55</f>
        <v>943955</v>
      </c>
      <c r="F30" s="302"/>
      <c r="G30" s="296"/>
      <c r="H30" s="449"/>
      <c r="I30" s="298"/>
      <c r="J30" s="306" t="str">
        <f>IF($E30&gt;0,$B$3,0)</f>
        <v>תקין</v>
      </c>
      <c r="K30" s="540">
        <f>IF($E30&lt;=0,E30-I30,0)</f>
        <v>0</v>
      </c>
      <c r="L30" s="313">
        <f>IF($E30&lt;=0,$P30,0)</f>
        <v>0</v>
      </c>
      <c r="M30" s="556"/>
      <c r="N30" s="281"/>
      <c r="P30" s="42" t="s">
        <v>963</v>
      </c>
    </row>
    <row r="31" spans="1:16">
      <c r="A31" s="478">
        <v>27</v>
      </c>
      <c r="B31" s="309" t="s">
        <v>933</v>
      </c>
      <c r="C31" s="309" t="s">
        <v>661</v>
      </c>
      <c r="D31" s="297">
        <f>$F$3</f>
        <v>2021</v>
      </c>
      <c r="E31" s="310">
        <f>'תקציב רגיל'!C30</f>
        <v>924955</v>
      </c>
      <c r="F31" s="302"/>
      <c r="G31" s="296"/>
      <c r="H31" s="449"/>
      <c r="I31" s="298"/>
      <c r="J31" s="306" t="str">
        <f>IF($E31&gt;0,$B$3,0)</f>
        <v>תקין</v>
      </c>
      <c r="K31" s="540">
        <f>IF($E31&lt;=0,E31-I31,0)</f>
        <v>0</v>
      </c>
      <c r="L31" s="313">
        <f>IF($E31&lt;=0,$P31,0)</f>
        <v>0</v>
      </c>
      <c r="M31" s="556"/>
      <c r="N31" s="305"/>
      <c r="P31" s="42" t="s">
        <v>964</v>
      </c>
    </row>
    <row r="32" spans="1:16">
      <c r="A32" s="478">
        <v>28</v>
      </c>
      <c r="B32" s="309" t="s">
        <v>933</v>
      </c>
      <c r="C32" s="309" t="s">
        <v>965</v>
      </c>
      <c r="D32" s="297">
        <f>$F$3</f>
        <v>2021</v>
      </c>
      <c r="E32" s="298">
        <f>'תקציב רגיל'!$G$11</f>
        <v>85402</v>
      </c>
      <c r="F32" s="302" t="s">
        <v>966</v>
      </c>
      <c r="G32" s="314" t="s">
        <v>787</v>
      </c>
      <c r="H32" s="450">
        <f>$F$3</f>
        <v>2021</v>
      </c>
      <c r="I32" s="316">
        <f>'גבייה וחייבים'!C25</f>
        <v>72423</v>
      </c>
      <c r="J32" s="317"/>
      <c r="K32" s="541"/>
      <c r="L32" s="318"/>
      <c r="M32" s="319"/>
      <c r="N32" s="281"/>
    </row>
    <row r="33" spans="1:16" ht="13.5" customHeight="1">
      <c r="A33" s="478"/>
      <c r="B33" s="309"/>
      <c r="C33" s="309"/>
      <c r="D33" s="297"/>
      <c r="E33" s="298"/>
      <c r="F33" s="302" t="s">
        <v>966</v>
      </c>
      <c r="G33" s="314" t="s">
        <v>785</v>
      </c>
      <c r="H33" s="450">
        <f>$F$3</f>
        <v>2021</v>
      </c>
      <c r="I33" s="320">
        <f>'גבייה וחייבים'!C16</f>
        <v>12979</v>
      </c>
      <c r="J33" s="317"/>
      <c r="K33" s="541"/>
      <c r="L33" s="318"/>
      <c r="M33" s="321"/>
      <c r="N33" s="281"/>
    </row>
    <row r="34" spans="1:16" ht="22.5" customHeight="1">
      <c r="A34" s="478"/>
      <c r="B34" s="309"/>
      <c r="C34" s="309"/>
      <c r="D34" s="297"/>
      <c r="E34" s="298"/>
      <c r="F34" s="302"/>
      <c r="G34" s="314" t="s">
        <v>767</v>
      </c>
      <c r="H34" s="450">
        <f>$F$3</f>
        <v>2021</v>
      </c>
      <c r="I34" s="322">
        <f>I32+I33</f>
        <v>85402</v>
      </c>
      <c r="J34" s="306" t="str">
        <f>IF(OR(J3=2,J3=4),IF(E32=I34,$B$3,0),0)</f>
        <v>תקין</v>
      </c>
      <c r="K34" s="542" t="str">
        <f>IF(OR(J3=2,J3=4),IF(E32=I34,"",I34-E32),"")</f>
        <v/>
      </c>
      <c r="L34" s="307" t="str">
        <f>IF(OR(J3=2,J3=4),IF(E32=I34,"",P34),"")</f>
        <v/>
      </c>
      <c r="M34" s="556"/>
      <c r="N34" s="281"/>
      <c r="P34" s="42" t="s">
        <v>967</v>
      </c>
    </row>
    <row r="35" spans="1:16">
      <c r="A35" s="479">
        <v>29</v>
      </c>
      <c r="B35" s="323" t="s">
        <v>933</v>
      </c>
      <c r="C35" s="323" t="s">
        <v>968</v>
      </c>
      <c r="D35" s="315">
        <f>$F$3</f>
        <v>2021</v>
      </c>
      <c r="E35" s="316">
        <f>'תקציב רגיל'!$G$12</f>
        <v>14</v>
      </c>
      <c r="F35" s="302" t="s">
        <v>966</v>
      </c>
      <c r="G35" s="314" t="s">
        <v>787</v>
      </c>
      <c r="H35" s="450">
        <f>$F$3</f>
        <v>2021</v>
      </c>
      <c r="I35" s="316">
        <f>'גבייה וחייבים'!I25</f>
        <v>0</v>
      </c>
      <c r="J35" s="324"/>
      <c r="K35" s="543"/>
      <c r="L35" s="325"/>
      <c r="M35" s="326"/>
      <c r="N35" s="281"/>
    </row>
    <row r="36" spans="1:16">
      <c r="A36" s="479"/>
      <c r="B36" s="323"/>
      <c r="C36" s="323"/>
      <c r="D36" s="315"/>
      <c r="E36" s="316"/>
      <c r="F36" s="302" t="s">
        <v>966</v>
      </c>
      <c r="G36" s="314" t="s">
        <v>785</v>
      </c>
      <c r="H36" s="450">
        <f>$F$3</f>
        <v>2021</v>
      </c>
      <c r="I36" s="327">
        <f>'גבייה וחייבים'!I16</f>
        <v>14</v>
      </c>
      <c r="J36" s="324"/>
      <c r="K36" s="543"/>
      <c r="L36" s="325"/>
      <c r="M36" s="328"/>
      <c r="N36" s="281"/>
    </row>
    <row r="37" spans="1:16">
      <c r="A37" s="479"/>
      <c r="B37" s="323"/>
      <c r="C37" s="323"/>
      <c r="D37" s="315"/>
      <c r="E37" s="316"/>
      <c r="F37" s="302"/>
      <c r="G37" s="314" t="s">
        <v>767</v>
      </c>
      <c r="H37" s="450"/>
      <c r="I37" s="322">
        <f>SUM(I35:I36)</f>
        <v>14</v>
      </c>
      <c r="J37" s="306" t="str">
        <f>IF(OR(J3=2,J3=4),IF(E35=I37,$B$3,0),0)</f>
        <v>תקין</v>
      </c>
      <c r="K37" s="536">
        <f>IF(OR(J3=2,J3=4),IF(E35=I37,0,I37-E35),0)</f>
        <v>0</v>
      </c>
      <c r="L37" s="313">
        <f>IF(OR(J3=2,J3=4),IF(E35=I37,0,P37),0)</f>
        <v>0</v>
      </c>
      <c r="M37" s="556"/>
      <c r="N37" s="281"/>
      <c r="P37" s="42" t="s">
        <v>969</v>
      </c>
    </row>
    <row r="38" spans="1:16">
      <c r="A38" s="479">
        <v>30</v>
      </c>
      <c r="B38" s="323" t="s">
        <v>920</v>
      </c>
      <c r="C38" s="323" t="s">
        <v>970</v>
      </c>
      <c r="D38" s="329">
        <f>$F$3</f>
        <v>2021</v>
      </c>
      <c r="E38" s="316">
        <f>'תמצית מאזן'!D65</f>
        <v>0</v>
      </c>
      <c r="F38" s="302" t="s">
        <v>966</v>
      </c>
      <c r="G38" s="314" t="s">
        <v>787</v>
      </c>
      <c r="H38" s="450">
        <f>$F$3</f>
        <v>2021</v>
      </c>
      <c r="I38" s="316">
        <f>'גבייה וחייבים'!C25</f>
        <v>72423</v>
      </c>
      <c r="J38" s="324"/>
      <c r="K38" s="543"/>
      <c r="L38" s="325"/>
      <c r="M38" s="326"/>
      <c r="N38" s="281"/>
    </row>
    <row r="39" spans="1:16" ht="25.5">
      <c r="A39" s="479"/>
      <c r="B39" s="323" t="s">
        <v>920</v>
      </c>
      <c r="C39" s="323" t="s">
        <v>971</v>
      </c>
      <c r="D39" s="329">
        <f>$F$3</f>
        <v>2021</v>
      </c>
      <c r="E39" s="316">
        <f>'תמצית מאזן'!D71</f>
        <v>0</v>
      </c>
      <c r="F39" s="302" t="s">
        <v>966</v>
      </c>
      <c r="G39" s="314" t="s">
        <v>785</v>
      </c>
      <c r="H39" s="450">
        <f>$F$3</f>
        <v>2021</v>
      </c>
      <c r="I39" s="316">
        <f>'גבייה וחייבים'!C16</f>
        <v>12979</v>
      </c>
      <c r="J39" s="324"/>
      <c r="K39" s="543"/>
      <c r="L39" s="325"/>
      <c r="M39" s="326"/>
      <c r="N39" s="281"/>
    </row>
    <row r="40" spans="1:16">
      <c r="A40" s="479"/>
      <c r="B40" s="323" t="s">
        <v>933</v>
      </c>
      <c r="C40" s="323" t="s">
        <v>965</v>
      </c>
      <c r="D40" s="329">
        <f>$F$3</f>
        <v>2021</v>
      </c>
      <c r="E40" s="316">
        <f>'תקציב רגיל'!G11</f>
        <v>85402</v>
      </c>
      <c r="F40" s="302" t="s">
        <v>966</v>
      </c>
      <c r="G40" s="314" t="s">
        <v>787</v>
      </c>
      <c r="H40" s="450">
        <f>$F$3</f>
        <v>2021</v>
      </c>
      <c r="I40" s="316">
        <f>'גבייה וחייבים'!I25</f>
        <v>0</v>
      </c>
      <c r="J40" s="324"/>
      <c r="K40" s="543"/>
      <c r="L40" s="325"/>
      <c r="M40" s="326"/>
      <c r="N40" s="281"/>
    </row>
    <row r="41" spans="1:16">
      <c r="A41" s="479"/>
      <c r="B41" s="323" t="s">
        <v>933</v>
      </c>
      <c r="C41" s="323" t="s">
        <v>968</v>
      </c>
      <c r="D41" s="329">
        <f>$F$3</f>
        <v>2021</v>
      </c>
      <c r="E41" s="316">
        <f>'תקציב רגיל'!G12</f>
        <v>14</v>
      </c>
      <c r="F41" s="302" t="s">
        <v>966</v>
      </c>
      <c r="G41" s="314" t="s">
        <v>785</v>
      </c>
      <c r="H41" s="450">
        <f>$F$3</f>
        <v>2021</v>
      </c>
      <c r="I41" s="316">
        <f>'גבייה וחייבים'!I16</f>
        <v>14</v>
      </c>
      <c r="J41" s="324"/>
      <c r="K41" s="543"/>
      <c r="L41" s="325"/>
      <c r="M41" s="326"/>
      <c r="N41" s="281"/>
    </row>
    <row r="42" spans="1:16">
      <c r="A42" s="479"/>
      <c r="B42" s="323"/>
      <c r="C42" s="323" t="s">
        <v>767</v>
      </c>
      <c r="D42" s="315"/>
      <c r="E42" s="322">
        <f>SUM(E38:E41)</f>
        <v>85416</v>
      </c>
      <c r="F42" s="302" t="s">
        <v>767</v>
      </c>
      <c r="G42" s="314"/>
      <c r="H42" s="450"/>
      <c r="I42" s="322">
        <f>SUM(I38:I41)</f>
        <v>85416</v>
      </c>
      <c r="J42" s="306">
        <f>IF(OR($J$3=2,$J$3=4),IF($E$42&gt;=$I$42*1.1,$B$3,0),0)</f>
        <v>0</v>
      </c>
      <c r="K42" s="536">
        <f>IF(OR($J$3=2,$J$3=4),IF($E$42&gt;=$I$42*1.1,0,E42-I42),0)</f>
        <v>0</v>
      </c>
      <c r="L42" s="313">
        <f>IF(OR($J$3=2,$J$3=4),IF($E$42&gt;=$I$42,0,$P$42),0)</f>
        <v>0</v>
      </c>
      <c r="M42" s="556"/>
      <c r="N42" s="281"/>
      <c r="P42" s="42" t="s">
        <v>972</v>
      </c>
    </row>
    <row r="43" spans="1:16" ht="33.75" customHeight="1">
      <c r="A43" s="479">
        <v>31</v>
      </c>
      <c r="B43" s="323" t="s">
        <v>933</v>
      </c>
      <c r="C43" s="323" t="s">
        <v>973</v>
      </c>
      <c r="D43" s="315">
        <f>$F$3</f>
        <v>2021</v>
      </c>
      <c r="E43" s="316">
        <f>'תקציב רגיל'!G29</f>
        <v>36382</v>
      </c>
      <c r="F43" s="302" t="s">
        <v>933</v>
      </c>
      <c r="G43" s="314" t="s">
        <v>0</v>
      </c>
      <c r="H43" s="450">
        <f>$F$3</f>
        <v>2021</v>
      </c>
      <c r="I43" s="316">
        <f>'תקציב רגיל'!G54</f>
        <v>35902</v>
      </c>
      <c r="J43" s="330" t="str">
        <f>IF(E43&lt;I43,0,$B$3)</f>
        <v>תקין</v>
      </c>
      <c r="K43" s="539">
        <f>IF(E43&lt;I43,E43-I43,0)</f>
        <v>0</v>
      </c>
      <c r="L43" s="312">
        <f>IF(E43&lt;I43,P43,0)</f>
        <v>0</v>
      </c>
      <c r="M43" s="556"/>
      <c r="N43" s="281"/>
      <c r="P43" s="42" t="s">
        <v>9</v>
      </c>
    </row>
    <row r="44" spans="1:16" ht="25.5" customHeight="1">
      <c r="A44" s="479">
        <v>32</v>
      </c>
      <c r="B44" s="323" t="s">
        <v>933</v>
      </c>
      <c r="C44" s="323" t="s">
        <v>973</v>
      </c>
      <c r="D44" s="315">
        <f>$F$3</f>
        <v>2021</v>
      </c>
      <c r="E44" s="316">
        <f>'תקציב רגיל'!G29</f>
        <v>36382</v>
      </c>
      <c r="F44" s="302" t="s">
        <v>966</v>
      </c>
      <c r="G44" s="472" t="s">
        <v>11</v>
      </c>
      <c r="H44" s="450">
        <f>$F$3</f>
        <v>2021</v>
      </c>
      <c r="I44" s="316">
        <f>'גבייה וחייבים'!C13</f>
        <v>-5708</v>
      </c>
      <c r="J44" s="325"/>
      <c r="K44" s="543"/>
      <c r="L44" s="325"/>
      <c r="M44" s="61"/>
      <c r="N44" s="281"/>
    </row>
    <row r="45" spans="1:16" ht="15" customHeight="1">
      <c r="A45" s="479"/>
      <c r="B45" s="323"/>
      <c r="C45" s="323"/>
      <c r="D45" s="315"/>
      <c r="E45" s="316"/>
      <c r="F45" s="302" t="s">
        <v>966</v>
      </c>
      <c r="G45" s="472" t="s">
        <v>10</v>
      </c>
      <c r="H45" s="450">
        <f>$F$3</f>
        <v>2021</v>
      </c>
      <c r="I45" s="316">
        <f>'גבייה וחייבים'!C21</f>
        <v>-30674</v>
      </c>
      <c r="J45" s="324"/>
      <c r="K45" s="543"/>
      <c r="L45" s="325"/>
      <c r="M45" s="326"/>
      <c r="N45" s="281"/>
    </row>
    <row r="46" spans="1:16" ht="12" customHeight="1">
      <c r="A46" s="479"/>
      <c r="B46" s="323"/>
      <c r="C46" s="323"/>
      <c r="D46" s="315"/>
      <c r="E46" s="316"/>
      <c r="F46" s="302"/>
      <c r="G46" s="314" t="s">
        <v>767</v>
      </c>
      <c r="H46" s="450"/>
      <c r="I46" s="322">
        <f>SUM(I44:I45)</f>
        <v>-36382</v>
      </c>
      <c r="J46" s="306" t="str">
        <f>IF(ABS(E44)&lt;=ABS(I46),$B$3,"")</f>
        <v>תקין</v>
      </c>
      <c r="K46" s="536" t="str">
        <f>IF(ABS(E44)&lt;=ABS(I46),"",ABS(E44)-ABS(I46))</f>
        <v/>
      </c>
      <c r="L46" s="313" t="str">
        <f>IF(ABS(E44)&lt;=ABS(I46),"",$P$46)</f>
        <v/>
      </c>
      <c r="M46" s="556"/>
      <c r="N46" s="281"/>
      <c r="P46" s="42" t="s">
        <v>12</v>
      </c>
    </row>
    <row r="47" spans="1:16">
      <c r="A47" s="479">
        <v>33</v>
      </c>
      <c r="B47" s="323" t="s">
        <v>13</v>
      </c>
      <c r="C47" s="323" t="s">
        <v>14</v>
      </c>
      <c r="D47" s="315">
        <f>$F$3</f>
        <v>2021</v>
      </c>
      <c r="E47" s="316">
        <f>'שכר ומשרות'!L43</f>
        <v>98243</v>
      </c>
      <c r="F47" s="302" t="s">
        <v>933</v>
      </c>
      <c r="G47" s="314" t="s">
        <v>663</v>
      </c>
      <c r="H47" s="450">
        <f>$F$3</f>
        <v>2021</v>
      </c>
      <c r="I47" s="316">
        <f>'תקציב רגיל'!G32</f>
        <v>58326</v>
      </c>
      <c r="J47" s="324"/>
      <c r="K47" s="543"/>
      <c r="L47" s="325"/>
      <c r="M47" s="326"/>
      <c r="N47" s="281"/>
    </row>
    <row r="48" spans="1:16" ht="25.5" customHeight="1">
      <c r="A48" s="479"/>
      <c r="B48" s="323"/>
      <c r="C48" s="323"/>
      <c r="D48" s="315"/>
      <c r="E48" s="316"/>
      <c r="F48" s="302"/>
      <c r="G48" s="314" t="s">
        <v>667</v>
      </c>
      <c r="H48" s="450">
        <f>$F$3</f>
        <v>2021</v>
      </c>
      <c r="I48" s="316">
        <f>'תקציב רגיל'!G37</f>
        <v>39641</v>
      </c>
      <c r="J48" s="324"/>
      <c r="K48" s="543"/>
      <c r="L48" s="325"/>
      <c r="M48" s="326"/>
      <c r="N48" s="281"/>
    </row>
    <row r="49" spans="1:18" ht="25.5" customHeight="1">
      <c r="A49" s="480"/>
      <c r="B49" s="331"/>
      <c r="C49" s="331"/>
      <c r="D49" s="315"/>
      <c r="E49" s="316"/>
      <c r="F49" s="332"/>
      <c r="G49" s="333" t="s">
        <v>670</v>
      </c>
      <c r="H49" s="450">
        <f>$F$3</f>
        <v>2021</v>
      </c>
      <c r="I49" s="320">
        <f>'תקציב רגיל'!G40</f>
        <v>6533</v>
      </c>
      <c r="J49" s="334"/>
      <c r="K49" s="544"/>
      <c r="L49" s="335"/>
      <c r="M49" s="328"/>
      <c r="N49" s="281"/>
    </row>
    <row r="50" spans="1:18" ht="35.25" customHeight="1">
      <c r="A50" s="480"/>
      <c r="B50" s="331"/>
      <c r="C50" s="331"/>
      <c r="D50" s="336"/>
      <c r="E50" s="316"/>
      <c r="F50" s="332"/>
      <c r="G50" s="314" t="s">
        <v>767</v>
      </c>
      <c r="H50" s="450"/>
      <c r="I50" s="322">
        <f>SUM(I47:I49)</f>
        <v>104500</v>
      </c>
      <c r="J50" s="337" t="str">
        <f>IF(AND($E$47&gt;=$I$50*0.9,$E$47&lt;=$I$50*1.1),$B$3,0)</f>
        <v>תקין</v>
      </c>
      <c r="K50" s="545" t="str">
        <f>IF(AND($E$47&gt;=$I$50*0.9,$E$47&lt;=$I$50*1.1),"",$E$47-$I$50)</f>
        <v/>
      </c>
      <c r="L50" s="339" t="str">
        <f>IF(AND($E$47&gt;=$I$50*0.9,$E$47&lt;=$I$50*1.1),"",$P$50)</f>
        <v/>
      </c>
      <c r="M50" s="557"/>
      <c r="N50" s="281"/>
      <c r="P50" s="42" t="s">
        <v>15</v>
      </c>
    </row>
    <row r="51" spans="1:18" ht="25.5" customHeight="1">
      <c r="A51" s="480">
        <v>34</v>
      </c>
      <c r="B51" s="331" t="s">
        <v>933</v>
      </c>
      <c r="C51" s="331" t="s">
        <v>674</v>
      </c>
      <c r="D51" s="315">
        <f t="shared" ref="D51:D56" si="0">$F$3</f>
        <v>2021</v>
      </c>
      <c r="E51" s="320">
        <f>'תקציב רגיל'!G45</f>
        <v>223</v>
      </c>
      <c r="F51" s="332"/>
      <c r="G51" s="333"/>
      <c r="H51" s="444"/>
      <c r="I51" s="320"/>
      <c r="J51" s="337" t="str">
        <f>IF('תמצית מאזן'!$D$59&lt;&gt;'בדיקות הצלבה'!$I$3,IF('בדיקות הצלבה'!$E$51&gt;0,'בדיקות הצלבה'!$B$3,0),'בדיקות הצלבה'!$E$3)</f>
        <v>תקין</v>
      </c>
      <c r="K51" s="545">
        <f>IF('תמצית מאזן'!$D$59&lt;&gt;'בדיקות הצלבה'!$I$3,IF('בדיקות הצלבה'!$E$51&gt;0,0,0),'בדיקות הצלבה'!$E$3)</f>
        <v>0</v>
      </c>
      <c r="L51" s="339">
        <f>IF('תמצית מאזן'!$D$59&lt;&gt;'בדיקות הצלבה'!$I$3,IF('בדיקות הצלבה'!$E$51&gt;0,0,P51),'בדיקות הצלבה'!$E$3)</f>
        <v>0</v>
      </c>
      <c r="M51" s="557"/>
      <c r="N51" s="281"/>
      <c r="P51" s="42" t="s">
        <v>16</v>
      </c>
    </row>
    <row r="52" spans="1:18" ht="25.5" customHeight="1">
      <c r="A52" s="480">
        <v>35</v>
      </c>
      <c r="B52" s="331" t="s">
        <v>933</v>
      </c>
      <c r="C52" s="331" t="s">
        <v>675</v>
      </c>
      <c r="D52" s="315">
        <f t="shared" si="0"/>
        <v>2021</v>
      </c>
      <c r="E52" s="320">
        <f>'תקציב רגיל'!G46</f>
        <v>5623</v>
      </c>
      <c r="F52" s="332"/>
      <c r="G52" s="333"/>
      <c r="H52" s="444"/>
      <c r="I52" s="320"/>
      <c r="J52" s="337" t="str">
        <f>IF('תמצית מאזן'!$D$59&lt;&gt;'בדיקות הצלבה'!$I$3,IF('בדיקות הצלבה'!$E$52&gt;0,'בדיקות הצלבה'!$B$3,0),'בדיקות הצלבה'!$E$3)</f>
        <v>תקין</v>
      </c>
      <c r="K52" s="545">
        <f>IF('תמצית מאזן'!$D$59&lt;&gt;'בדיקות הצלבה'!$I$3,IF('בדיקות הצלבה'!$E$52&gt;0,0,0),'בדיקות הצלבה'!$E$3)</f>
        <v>0</v>
      </c>
      <c r="L52" s="339">
        <f>IF('תמצית מאזן'!$D$59&lt;&gt;'בדיקות הצלבה'!$I$3,IF('בדיקות הצלבה'!$E$52&gt;0,0,P52),'בדיקות הצלבה'!$E$3)</f>
        <v>0</v>
      </c>
      <c r="M52" s="557"/>
      <c r="N52" s="281"/>
      <c r="P52" s="42" t="s">
        <v>17</v>
      </c>
    </row>
    <row r="53" spans="1:18" s="308" customFormat="1" ht="26.25" customHeight="1">
      <c r="A53" s="480">
        <v>36</v>
      </c>
      <c r="B53" s="331" t="s">
        <v>933</v>
      </c>
      <c r="C53" s="331" t="s">
        <v>659</v>
      </c>
      <c r="D53" s="340">
        <f t="shared" si="0"/>
        <v>2021</v>
      </c>
      <c r="E53" s="320">
        <f>'תקציב רגיל'!G28</f>
        <v>8200</v>
      </c>
      <c r="F53" s="332" t="s">
        <v>933</v>
      </c>
      <c r="G53" s="333" t="s">
        <v>680</v>
      </c>
      <c r="H53" s="445">
        <f>$F$3</f>
        <v>2021</v>
      </c>
      <c r="I53" s="320">
        <f>'תקציב רגיל'!G53</f>
        <v>8200</v>
      </c>
      <c r="J53" s="337" t="str">
        <f>IF(E53&lt;=I53,$B$3,"")</f>
        <v>תקין</v>
      </c>
      <c r="K53" s="546" t="str">
        <f>IF($E$53&lt;=$I$53,"",$E$53-$I$53)</f>
        <v/>
      </c>
      <c r="L53" s="443" t="str">
        <f>IF($E$53&lt;=$I$53,"",$P$53)</f>
        <v/>
      </c>
      <c r="M53" s="558"/>
      <c r="N53" s="281"/>
      <c r="O53" s="341"/>
      <c r="P53" s="341" t="s">
        <v>18</v>
      </c>
      <c r="Q53" s="341"/>
      <c r="R53" s="341"/>
    </row>
    <row r="54" spans="1:18" s="308" customFormat="1" ht="26.25" customHeight="1">
      <c r="A54" s="480">
        <v>37</v>
      </c>
      <c r="B54" s="331" t="s">
        <v>933</v>
      </c>
      <c r="C54" s="331" t="s">
        <v>479</v>
      </c>
      <c r="D54" s="340">
        <f t="shared" si="0"/>
        <v>2021</v>
      </c>
      <c r="E54" s="460">
        <f>'תקציב רגיל'!G32</f>
        <v>58326</v>
      </c>
      <c r="F54" s="332" t="s">
        <v>13</v>
      </c>
      <c r="G54" s="333" t="s">
        <v>480</v>
      </c>
      <c r="H54" s="444">
        <f>$F$3</f>
        <v>2021</v>
      </c>
      <c r="I54" s="320">
        <f>'שכר ומשרות'!L43-'שכר ומשרות'!L36-'שכר ומשרות'!L27-'שכר ומשרות'!L24</f>
        <v>54648</v>
      </c>
      <c r="J54" s="337" t="str">
        <f>IF(E54&lt;=I54,$B$3,"")</f>
        <v/>
      </c>
      <c r="K54" s="545">
        <f>IF($E$54&lt;=$I$54,"",$E$54-$I$54)</f>
        <v>3678</v>
      </c>
      <c r="L54" s="339" t="str">
        <f>IF($E$54&lt;=$I$54,"",$P$54)</f>
        <v>ביצוע השכר הכללי בתקציב הרגיל שונה מהביצוע בפועל שדווח בטבלת שכר ומשרות</v>
      </c>
      <c r="M54" s="557" t="s">
        <v>977</v>
      </c>
      <c r="N54" s="281"/>
      <c r="O54" s="341"/>
      <c r="P54" s="341" t="s">
        <v>481</v>
      </c>
      <c r="Q54" s="341"/>
      <c r="R54" s="341"/>
    </row>
    <row r="55" spans="1:18" s="308" customFormat="1" ht="26.25" customHeight="1">
      <c r="A55" s="480">
        <v>38</v>
      </c>
      <c r="B55" s="459" t="s">
        <v>933</v>
      </c>
      <c r="C55" s="459" t="s">
        <v>667</v>
      </c>
      <c r="D55" s="340">
        <f t="shared" si="0"/>
        <v>2021</v>
      </c>
      <c r="E55" s="460">
        <f>'תקציב רגיל'!G37</f>
        <v>39641</v>
      </c>
      <c r="F55" s="442" t="s">
        <v>13</v>
      </c>
      <c r="G55" s="461" t="s">
        <v>482</v>
      </c>
      <c r="H55" s="444">
        <f>$F$3</f>
        <v>2021</v>
      </c>
      <c r="I55" s="320">
        <f>'שכר ומשרות'!L24</f>
        <v>37412</v>
      </c>
      <c r="J55" s="337" t="str">
        <f>IF(E55&lt;=I55,$B$3,"")</f>
        <v/>
      </c>
      <c r="K55" s="545">
        <f>IF($E$55&lt;=$I$55,"",$E$55-$I$55)</f>
        <v>2229</v>
      </c>
      <c r="L55" s="339" t="str">
        <f>IF($E$55&lt;=$I$55,"",$P$55)</f>
        <v>ביצוע שכר חינוך בתקציב הרגיל שונה מהביצוע בפועל שדווח בטבלת שכר ומשרות</v>
      </c>
      <c r="M55" s="557" t="s">
        <v>977</v>
      </c>
      <c r="N55" s="281"/>
      <c r="O55" s="341"/>
      <c r="P55" s="462" t="s">
        <v>483</v>
      </c>
      <c r="Q55" s="341"/>
      <c r="R55" s="341"/>
    </row>
    <row r="56" spans="1:18" s="308" customFormat="1" ht="26.25" customHeight="1">
      <c r="A56" s="480">
        <v>39</v>
      </c>
      <c r="B56" s="459" t="s">
        <v>933</v>
      </c>
      <c r="C56" s="459" t="s">
        <v>670</v>
      </c>
      <c r="D56" s="340">
        <f t="shared" si="0"/>
        <v>2021</v>
      </c>
      <c r="E56" s="460">
        <f>'תקציב רגיל'!G40</f>
        <v>6533</v>
      </c>
      <c r="F56" s="442" t="s">
        <v>13</v>
      </c>
      <c r="G56" s="461" t="s">
        <v>484</v>
      </c>
      <c r="H56" s="444">
        <f>$F$3</f>
        <v>2021</v>
      </c>
      <c r="I56" s="320">
        <f>'שכר ומשרות'!L27</f>
        <v>6183</v>
      </c>
      <c r="J56" s="337" t="str">
        <f>IF(E56&lt;=I56,$B$3,"")</f>
        <v/>
      </c>
      <c r="K56" s="545">
        <f>IF($E$56&lt;=$I$56,"",$E$56-$I$56)</f>
        <v>350</v>
      </c>
      <c r="L56" s="339" t="str">
        <f>IF($E$56&lt;=$I$56,"",$P$56)</f>
        <v>ביצוע שכר רווחה בתקציב הרגיל שונה מהביצוע בפועל שדווח בטבלת שכר ומשרות</v>
      </c>
      <c r="M56" s="557" t="s">
        <v>977</v>
      </c>
      <c r="N56" s="281"/>
      <c r="O56" s="341"/>
      <c r="P56" s="462" t="s">
        <v>485</v>
      </c>
      <c r="Q56" s="341"/>
      <c r="R56" s="341"/>
    </row>
    <row r="57" spans="1:18" s="308" customFormat="1" ht="26.25" customHeight="1">
      <c r="A57" s="480"/>
      <c r="B57" s="331"/>
      <c r="C57" s="331"/>
      <c r="D57" s="340"/>
      <c r="E57" s="458"/>
      <c r="F57" s="332"/>
      <c r="G57" s="333"/>
      <c r="H57" s="444"/>
      <c r="I57" s="320"/>
      <c r="J57" s="337"/>
      <c r="K57" s="546"/>
      <c r="L57" s="443"/>
      <c r="M57" s="558"/>
      <c r="N57" s="281"/>
      <c r="O57" s="341"/>
      <c r="P57" s="341"/>
      <c r="Q57" s="341"/>
      <c r="R57" s="341"/>
    </row>
    <row r="58" spans="1:18" ht="15.75">
      <c r="A58" s="342"/>
      <c r="B58" s="625" t="s">
        <v>19</v>
      </c>
      <c r="C58" s="625"/>
      <c r="D58" s="625"/>
      <c r="E58" s="625"/>
      <c r="F58" s="625"/>
      <c r="G58" s="625"/>
      <c r="H58" s="625"/>
      <c r="I58" s="625"/>
      <c r="J58" s="343"/>
      <c r="K58" s="547"/>
      <c r="L58" s="343"/>
      <c r="M58" s="45"/>
      <c r="N58" s="281"/>
    </row>
    <row r="59" spans="1:18" ht="27" customHeight="1">
      <c r="A59" s="481">
        <v>40</v>
      </c>
      <c r="B59" s="344" t="s">
        <v>20</v>
      </c>
      <c r="C59" s="344" t="s">
        <v>21</v>
      </c>
      <c r="D59" s="345">
        <f>$F$3</f>
        <v>2021</v>
      </c>
      <c r="E59" s="346">
        <f>תברים!D$41</f>
        <v>11368</v>
      </c>
      <c r="F59" s="299"/>
      <c r="G59" s="347"/>
      <c r="H59" s="451"/>
      <c r="I59" s="559"/>
      <c r="J59" s="560" t="str">
        <f>IF($E$59&lt;&gt;0,$B$3,"")</f>
        <v>תקין</v>
      </c>
      <c r="K59" s="561" t="str">
        <f>IF($E$59=0,"","")</f>
        <v/>
      </c>
      <c r="L59" s="562" t="str">
        <f>IF($E$59=0,P59,"")</f>
        <v/>
      </c>
      <c r="M59" s="563"/>
      <c r="N59" s="281"/>
      <c r="P59" s="42" t="s">
        <v>22</v>
      </c>
    </row>
    <row r="60" spans="1:18" ht="27" customHeight="1">
      <c r="A60" s="482">
        <v>41</v>
      </c>
      <c r="B60" s="348" t="s">
        <v>20</v>
      </c>
      <c r="C60" s="348" t="s">
        <v>21</v>
      </c>
      <c r="D60" s="315">
        <f>$G$3</f>
        <v>2020</v>
      </c>
      <c r="E60" s="316">
        <f>תברים!F$41</f>
        <v>110022</v>
      </c>
      <c r="F60" s="302"/>
      <c r="G60" s="314"/>
      <c r="H60" s="450"/>
      <c r="I60" s="564"/>
      <c r="J60" s="565" t="str">
        <f>IF($E$60&lt;&gt;0,$B$3,"")</f>
        <v>תקין</v>
      </c>
      <c r="K60" s="566" t="str">
        <f>IF($E$60=0,"","")</f>
        <v/>
      </c>
      <c r="L60" s="567" t="str">
        <f>IF($E$60=0,P60,"")</f>
        <v/>
      </c>
      <c r="M60" s="563"/>
      <c r="N60" s="281"/>
      <c r="P60" s="42" t="s">
        <v>23</v>
      </c>
    </row>
    <row r="61" spans="1:18" ht="29.25" customHeight="1">
      <c r="A61" s="482">
        <v>42</v>
      </c>
      <c r="B61" s="348" t="s">
        <v>20</v>
      </c>
      <c r="C61" s="348" t="s">
        <v>878</v>
      </c>
      <c r="D61" s="315">
        <f>$F$3</f>
        <v>2021</v>
      </c>
      <c r="E61" s="316">
        <f>תברים!D46</f>
        <v>316002</v>
      </c>
      <c r="F61" s="302" t="s">
        <v>20</v>
      </c>
      <c r="G61" s="314" t="s">
        <v>24</v>
      </c>
      <c r="H61" s="450">
        <f>$G$3</f>
        <v>2020</v>
      </c>
      <c r="I61" s="316">
        <f>תברים!F51</f>
        <v>316002</v>
      </c>
      <c r="J61" s="306" t="str">
        <f t="shared" ref="J61:J66" si="1">IF(E61=I61,$B$3,"")</f>
        <v>תקין</v>
      </c>
      <c r="K61" s="536" t="str">
        <f>IF($E$61=$I$61,"",$E$61-$I$61)</f>
        <v/>
      </c>
      <c r="L61" s="313" t="str">
        <f>IF($E$61=$I$61,"",P61)</f>
        <v/>
      </c>
      <c r="M61" s="556"/>
      <c r="N61" s="281"/>
      <c r="P61" s="42" t="s">
        <v>891</v>
      </c>
    </row>
    <row r="62" spans="1:18" ht="39.75" customHeight="1">
      <c r="A62" s="482">
        <v>43</v>
      </c>
      <c r="B62" s="348" t="s">
        <v>20</v>
      </c>
      <c r="C62" s="348" t="s">
        <v>879</v>
      </c>
      <c r="D62" s="315">
        <f>$F$3</f>
        <v>2021</v>
      </c>
      <c r="E62" s="316">
        <f>תברים!D51</f>
        <v>327370</v>
      </c>
      <c r="F62" s="302" t="s">
        <v>20</v>
      </c>
      <c r="G62" s="314" t="s">
        <v>879</v>
      </c>
      <c r="H62" s="450">
        <f>$F$3</f>
        <v>2021</v>
      </c>
      <c r="I62" s="316">
        <f>תברים!D55</f>
        <v>327370</v>
      </c>
      <c r="J62" s="306" t="str">
        <f t="shared" si="1"/>
        <v>תקין</v>
      </c>
      <c r="K62" s="536" t="str">
        <f>IF($E$62=$I$62,"",$E$62-$I$62)</f>
        <v/>
      </c>
      <c r="L62" s="313" t="str">
        <f>IF($E$62=$I$62,"",P62)</f>
        <v/>
      </c>
      <c r="M62" s="556"/>
      <c r="N62" s="281"/>
      <c r="P62" s="42" t="s">
        <v>25</v>
      </c>
    </row>
    <row r="63" spans="1:18" ht="39.75" customHeight="1">
      <c r="A63" s="482">
        <v>44</v>
      </c>
      <c r="B63" s="348" t="s">
        <v>20</v>
      </c>
      <c r="C63" s="348" t="s">
        <v>879</v>
      </c>
      <c r="D63" s="315">
        <f>$G$3</f>
        <v>2020</v>
      </c>
      <c r="E63" s="316">
        <f>תברים!F51</f>
        <v>316002</v>
      </c>
      <c r="F63" s="349" t="s">
        <v>20</v>
      </c>
      <c r="G63" s="314" t="s">
        <v>879</v>
      </c>
      <c r="H63" s="450">
        <f>$G$3</f>
        <v>2020</v>
      </c>
      <c r="I63" s="316">
        <f>תברים!F55</f>
        <v>316002</v>
      </c>
      <c r="J63" s="306" t="str">
        <f t="shared" si="1"/>
        <v>תקין</v>
      </c>
      <c r="K63" s="536" t="str">
        <f>IF(E63=I63,"",E63-I63)</f>
        <v/>
      </c>
      <c r="L63" s="313" t="str">
        <f>IF(E63=I63,"",$P$63)</f>
        <v/>
      </c>
      <c r="M63" s="556"/>
      <c r="N63" s="281"/>
      <c r="P63" s="42" t="s">
        <v>26</v>
      </c>
    </row>
    <row r="64" spans="1:18" ht="39.75" customHeight="1">
      <c r="A64" s="482">
        <v>45</v>
      </c>
      <c r="B64" s="348" t="s">
        <v>20</v>
      </c>
      <c r="C64" s="348" t="s">
        <v>879</v>
      </c>
      <c r="D64" s="315">
        <f>$F$3</f>
        <v>2021</v>
      </c>
      <c r="E64" s="316">
        <f>תברים!D55</f>
        <v>327370</v>
      </c>
      <c r="F64" s="349" t="s">
        <v>20</v>
      </c>
      <c r="G64" s="314" t="s">
        <v>27</v>
      </c>
      <c r="H64" s="450">
        <f>$F$3</f>
        <v>2021</v>
      </c>
      <c r="I64" s="316">
        <f>'ריכוז תברים'!X37</f>
        <v>327370</v>
      </c>
      <c r="J64" s="306" t="str">
        <f t="shared" si="1"/>
        <v>תקין</v>
      </c>
      <c r="K64" s="536" t="str">
        <f>IF(E64=I64,"",E64-I64)</f>
        <v/>
      </c>
      <c r="L64" s="313" t="str">
        <f>IF(E64=I64,"",$P$64)</f>
        <v/>
      </c>
      <c r="M64" s="556"/>
      <c r="N64" s="281"/>
      <c r="P64" s="42" t="s">
        <v>28</v>
      </c>
    </row>
    <row r="65" spans="1:16" ht="27" customHeight="1">
      <c r="A65" s="482">
        <v>46</v>
      </c>
      <c r="B65" s="348" t="s">
        <v>20</v>
      </c>
      <c r="C65" s="348" t="s">
        <v>29</v>
      </c>
      <c r="D65" s="315">
        <f>$F$3</f>
        <v>2021</v>
      </c>
      <c r="E65" s="316">
        <f>תברים!D44</f>
        <v>991881</v>
      </c>
      <c r="F65" s="314" t="s">
        <v>20</v>
      </c>
      <c r="G65" s="314" t="s">
        <v>30</v>
      </c>
      <c r="H65" s="450">
        <f>$G$3</f>
        <v>2020</v>
      </c>
      <c r="I65" s="316">
        <f>תברים!F49</f>
        <v>991881</v>
      </c>
      <c r="J65" s="306" t="str">
        <f t="shared" si="1"/>
        <v>תקין</v>
      </c>
      <c r="K65" s="536" t="str">
        <f>IF(E65=I65,"",E65-I65)</f>
        <v/>
      </c>
      <c r="L65" s="313" t="str">
        <f>IF($E$65=$I$65,"",P65)</f>
        <v/>
      </c>
      <c r="M65" s="556"/>
      <c r="N65" s="281"/>
      <c r="P65" s="42" t="s">
        <v>31</v>
      </c>
    </row>
    <row r="66" spans="1:16" ht="27" customHeight="1">
      <c r="A66" s="482">
        <v>47</v>
      </c>
      <c r="B66" s="348" t="s">
        <v>20</v>
      </c>
      <c r="C66" s="348" t="s">
        <v>32</v>
      </c>
      <c r="D66" s="315">
        <f>$F$3</f>
        <v>2021</v>
      </c>
      <c r="E66" s="316">
        <f>תברים!D45</f>
        <v>675879</v>
      </c>
      <c r="F66" s="314" t="s">
        <v>20</v>
      </c>
      <c r="G66" s="314" t="s">
        <v>33</v>
      </c>
      <c r="H66" s="450">
        <f>$G$3</f>
        <v>2020</v>
      </c>
      <c r="I66" s="316">
        <f>תברים!F50</f>
        <v>675879</v>
      </c>
      <c r="J66" s="306" t="str">
        <f t="shared" si="1"/>
        <v>תקין</v>
      </c>
      <c r="K66" s="536" t="str">
        <f>IF(E66=I66,"",E66-I66)</f>
        <v/>
      </c>
      <c r="L66" s="313" t="str">
        <f>IF($E$66=$I$66,"",P66)</f>
        <v/>
      </c>
      <c r="M66" s="556"/>
      <c r="N66" s="281"/>
      <c r="P66" s="42" t="s">
        <v>34</v>
      </c>
    </row>
    <row r="67" spans="1:16" ht="27" customHeight="1">
      <c r="A67" s="482">
        <v>48</v>
      </c>
      <c r="B67" s="348" t="s">
        <v>20</v>
      </c>
      <c r="C67" s="348" t="s">
        <v>30</v>
      </c>
      <c r="D67" s="315">
        <f>$F$3</f>
        <v>2021</v>
      </c>
      <c r="E67" s="316">
        <f>תברים!D49</f>
        <v>1029285</v>
      </c>
      <c r="F67" s="302" t="s">
        <v>20</v>
      </c>
      <c r="G67" s="314" t="s">
        <v>866</v>
      </c>
      <c r="H67" s="450">
        <f>$F$3</f>
        <v>2021</v>
      </c>
      <c r="I67" s="316">
        <f>תברים!D30</f>
        <v>37404</v>
      </c>
      <c r="J67" s="324"/>
      <c r="K67" s="543"/>
      <c r="L67" s="325"/>
      <c r="M67" s="326"/>
      <c r="N67" s="281"/>
    </row>
    <row r="68" spans="1:16" ht="27" customHeight="1">
      <c r="A68" s="482"/>
      <c r="B68" s="348"/>
      <c r="C68" s="348"/>
      <c r="D68" s="315"/>
      <c r="E68" s="316"/>
      <c r="F68" s="302" t="s">
        <v>20</v>
      </c>
      <c r="G68" s="314" t="s">
        <v>29</v>
      </c>
      <c r="H68" s="450">
        <f>$F$3</f>
        <v>2021</v>
      </c>
      <c r="I68" s="316">
        <f>תברים!D44</f>
        <v>991881</v>
      </c>
      <c r="J68" s="324"/>
      <c r="K68" s="543"/>
      <c r="L68" s="325"/>
      <c r="M68" s="326"/>
      <c r="N68" s="281"/>
    </row>
    <row r="69" spans="1:16" ht="48.75" customHeight="1">
      <c r="A69" s="482"/>
      <c r="B69" s="348"/>
      <c r="C69" s="348"/>
      <c r="D69" s="315"/>
      <c r="E69" s="316"/>
      <c r="F69" s="302" t="s">
        <v>20</v>
      </c>
      <c r="G69" s="314" t="s">
        <v>35</v>
      </c>
      <c r="H69" s="450">
        <f>$F$3</f>
        <v>2021</v>
      </c>
      <c r="I69" s="316">
        <f>תברים!D57</f>
        <v>0</v>
      </c>
      <c r="J69" s="324"/>
      <c r="K69" s="543"/>
      <c r="L69" s="325"/>
      <c r="M69" s="326"/>
      <c r="N69" s="281"/>
    </row>
    <row r="70" spans="1:16" ht="27" customHeight="1">
      <c r="A70" s="482"/>
      <c r="B70" s="348"/>
      <c r="C70" s="348"/>
      <c r="D70" s="315"/>
      <c r="E70" s="316"/>
      <c r="F70" s="302"/>
      <c r="G70" s="314" t="s">
        <v>767</v>
      </c>
      <c r="H70" s="450"/>
      <c r="I70" s="322">
        <f>I67+I68-I69</f>
        <v>1029285</v>
      </c>
      <c r="J70" s="306" t="str">
        <f>IF(E67=I70,$B$3,"")</f>
        <v>תקין</v>
      </c>
      <c r="K70" s="536" t="str">
        <f>IF(E67=I70,"",E67-I70)</f>
        <v/>
      </c>
      <c r="L70" s="313" t="str">
        <f>IF($E$67=$I$70,"",P70)</f>
        <v/>
      </c>
      <c r="M70" s="556"/>
      <c r="N70" s="281"/>
      <c r="P70" s="42" t="s">
        <v>36</v>
      </c>
    </row>
    <row r="71" spans="1:16" ht="27" customHeight="1">
      <c r="A71" s="482">
        <v>49</v>
      </c>
      <c r="B71" s="348" t="s">
        <v>20</v>
      </c>
      <c r="C71" s="348" t="s">
        <v>33</v>
      </c>
      <c r="D71" s="315">
        <f>$F$3</f>
        <v>2021</v>
      </c>
      <c r="E71" s="316">
        <f>תברים!D50</f>
        <v>701915</v>
      </c>
      <c r="F71" s="302" t="s">
        <v>20</v>
      </c>
      <c r="G71" s="314" t="s">
        <v>874</v>
      </c>
      <c r="H71" s="450">
        <f>$F$3</f>
        <v>2021</v>
      </c>
      <c r="I71" s="316">
        <f>תברים!D39</f>
        <v>26036</v>
      </c>
      <c r="J71" s="324"/>
      <c r="K71" s="543"/>
      <c r="L71" s="325"/>
      <c r="M71" s="326"/>
      <c r="N71" s="281"/>
    </row>
    <row r="72" spans="1:16" ht="27" customHeight="1">
      <c r="A72" s="482"/>
      <c r="B72" s="348"/>
      <c r="C72" s="348"/>
      <c r="D72" s="315"/>
      <c r="E72" s="316"/>
      <c r="F72" s="302" t="s">
        <v>20</v>
      </c>
      <c r="G72" s="314" t="s">
        <v>32</v>
      </c>
      <c r="H72" s="450">
        <f>$F$3</f>
        <v>2021</v>
      </c>
      <c r="I72" s="316">
        <f>תברים!D45</f>
        <v>675879</v>
      </c>
      <c r="J72" s="324"/>
      <c r="K72" s="543"/>
      <c r="L72" s="325"/>
      <c r="M72" s="326"/>
      <c r="N72" s="281"/>
    </row>
    <row r="73" spans="1:16" ht="44.25" customHeight="1">
      <c r="A73" s="482"/>
      <c r="B73" s="348"/>
      <c r="C73" s="348"/>
      <c r="D73" s="315"/>
      <c r="E73" s="316"/>
      <c r="F73" s="302" t="s">
        <v>20</v>
      </c>
      <c r="G73" s="314" t="s">
        <v>37</v>
      </c>
      <c r="H73" s="450">
        <f>$F$3</f>
        <v>2021</v>
      </c>
      <c r="I73" s="316">
        <f>תברים!D58</f>
        <v>0</v>
      </c>
      <c r="J73" s="324"/>
      <c r="K73" s="543"/>
      <c r="L73" s="325"/>
      <c r="M73" s="326"/>
      <c r="N73" s="281"/>
    </row>
    <row r="74" spans="1:16" ht="27" customHeight="1">
      <c r="A74" s="482"/>
      <c r="B74" s="348"/>
      <c r="C74" s="348"/>
      <c r="D74" s="315"/>
      <c r="E74" s="316"/>
      <c r="F74" s="302"/>
      <c r="G74" s="314" t="s">
        <v>767</v>
      </c>
      <c r="H74" s="450"/>
      <c r="I74" s="322">
        <f>I71+I72-I73</f>
        <v>701915</v>
      </c>
      <c r="J74" s="306" t="str">
        <f>IF(E71=I74,$B$3,"")</f>
        <v>תקין</v>
      </c>
      <c r="K74" s="536" t="str">
        <f>IF(E71=I74,"",E71-I74)</f>
        <v/>
      </c>
      <c r="L74" s="313" t="str">
        <f>IF($E$71=$I$74,"",P74)</f>
        <v/>
      </c>
      <c r="M74" s="556"/>
      <c r="N74" s="281"/>
      <c r="P74" s="42" t="s">
        <v>38</v>
      </c>
    </row>
    <row r="75" spans="1:16" ht="27" customHeight="1">
      <c r="A75" s="482">
        <v>50</v>
      </c>
      <c r="B75" s="348" t="s">
        <v>20</v>
      </c>
      <c r="C75" s="348" t="s">
        <v>30</v>
      </c>
      <c r="D75" s="315">
        <f>$G$3</f>
        <v>2020</v>
      </c>
      <c r="E75" s="316">
        <f>תברים!F49</f>
        <v>991881</v>
      </c>
      <c r="F75" s="302" t="s">
        <v>20</v>
      </c>
      <c r="G75" s="314" t="s">
        <v>866</v>
      </c>
      <c r="H75" s="450">
        <f>$G$3</f>
        <v>2020</v>
      </c>
      <c r="I75" s="316">
        <f>תברים!F30</f>
        <v>214411</v>
      </c>
      <c r="J75" s="324"/>
      <c r="K75" s="543"/>
      <c r="L75" s="325"/>
      <c r="M75" s="326"/>
      <c r="N75" s="281"/>
    </row>
    <row r="76" spans="1:16" ht="27" customHeight="1">
      <c r="A76" s="482"/>
      <c r="B76" s="348"/>
      <c r="C76" s="348"/>
      <c r="D76" s="315"/>
      <c r="E76" s="316"/>
      <c r="F76" s="302" t="s">
        <v>20</v>
      </c>
      <c r="G76" s="314" t="s">
        <v>29</v>
      </c>
      <c r="H76" s="450">
        <f>$G$3</f>
        <v>2020</v>
      </c>
      <c r="I76" s="316">
        <f>תברים!F44</f>
        <v>823334</v>
      </c>
      <c r="J76" s="324"/>
      <c r="K76" s="543"/>
      <c r="L76" s="325"/>
      <c r="M76" s="326"/>
      <c r="N76" s="281"/>
    </row>
    <row r="77" spans="1:16" ht="48.75" customHeight="1">
      <c r="A77" s="482"/>
      <c r="B77" s="348"/>
      <c r="C77" s="348"/>
      <c r="D77" s="315"/>
      <c r="E77" s="316"/>
      <c r="F77" s="302" t="s">
        <v>20</v>
      </c>
      <c r="G77" s="314" t="s">
        <v>35</v>
      </c>
      <c r="H77" s="450">
        <f>$G$3</f>
        <v>2020</v>
      </c>
      <c r="I77" s="316">
        <f>תברים!F57</f>
        <v>45864</v>
      </c>
      <c r="J77" s="324"/>
      <c r="K77" s="543"/>
      <c r="L77" s="325"/>
      <c r="M77" s="326"/>
      <c r="N77" s="281"/>
    </row>
    <row r="78" spans="1:16" ht="27" customHeight="1">
      <c r="A78" s="482"/>
      <c r="B78" s="348"/>
      <c r="C78" s="348"/>
      <c r="D78" s="315"/>
      <c r="E78" s="316"/>
      <c r="F78" s="302"/>
      <c r="G78" s="314" t="s">
        <v>767</v>
      </c>
      <c r="H78" s="450"/>
      <c r="I78" s="322">
        <f>I75+I76-I77</f>
        <v>991881</v>
      </c>
      <c r="J78" s="306" t="str">
        <f>IF(E75=I78,$B$3,"")</f>
        <v>תקין</v>
      </c>
      <c r="K78" s="536" t="str">
        <f>IF(E75=I78,"",E75-I78)</f>
        <v/>
      </c>
      <c r="L78" s="313" t="str">
        <f>IF($E$75=$I$78,"",P78)</f>
        <v/>
      </c>
      <c r="M78" s="556"/>
      <c r="N78" s="281"/>
      <c r="P78" s="42" t="s">
        <v>39</v>
      </c>
    </row>
    <row r="79" spans="1:16" ht="27" customHeight="1">
      <c r="A79" s="482">
        <v>51</v>
      </c>
      <c r="B79" s="348" t="s">
        <v>20</v>
      </c>
      <c r="C79" s="348" t="s">
        <v>33</v>
      </c>
      <c r="D79" s="315">
        <f>$G$3</f>
        <v>2020</v>
      </c>
      <c r="E79" s="316">
        <f>תברים!F50</f>
        <v>675879</v>
      </c>
      <c r="F79" s="302" t="s">
        <v>20</v>
      </c>
      <c r="G79" s="314" t="s">
        <v>874</v>
      </c>
      <c r="H79" s="450">
        <f>$G$3</f>
        <v>2020</v>
      </c>
      <c r="I79" s="316">
        <f>תברים!F39</f>
        <v>104389</v>
      </c>
      <c r="J79" s="324"/>
      <c r="K79" s="543"/>
      <c r="L79" s="325"/>
      <c r="M79" s="326"/>
      <c r="N79" s="281"/>
    </row>
    <row r="80" spans="1:16" ht="27" customHeight="1">
      <c r="A80" s="482"/>
      <c r="B80" s="348"/>
      <c r="C80" s="348"/>
      <c r="D80" s="315"/>
      <c r="E80" s="316"/>
      <c r="F80" s="302" t="s">
        <v>20</v>
      </c>
      <c r="G80" s="314" t="s">
        <v>32</v>
      </c>
      <c r="H80" s="450">
        <f>$G$3</f>
        <v>2020</v>
      </c>
      <c r="I80" s="316">
        <f>תברים!F45</f>
        <v>617354</v>
      </c>
      <c r="J80" s="324"/>
      <c r="K80" s="543"/>
      <c r="L80" s="325"/>
      <c r="M80" s="326"/>
      <c r="N80" s="281"/>
    </row>
    <row r="81" spans="1:16" ht="44.25" customHeight="1">
      <c r="A81" s="482"/>
      <c r="B81" s="348"/>
      <c r="C81" s="348"/>
      <c r="D81" s="315"/>
      <c r="E81" s="316"/>
      <c r="F81" s="302" t="s">
        <v>20</v>
      </c>
      <c r="G81" s="314" t="s">
        <v>37</v>
      </c>
      <c r="H81" s="450">
        <f>$G$3</f>
        <v>2020</v>
      </c>
      <c r="I81" s="316">
        <f>תברים!F58</f>
        <v>45864</v>
      </c>
      <c r="J81" s="324"/>
      <c r="K81" s="543"/>
      <c r="L81" s="325"/>
      <c r="M81" s="326"/>
      <c r="N81" s="281"/>
    </row>
    <row r="82" spans="1:16" ht="27" customHeight="1">
      <c r="A82" s="482"/>
      <c r="B82" s="348"/>
      <c r="C82" s="348"/>
      <c r="D82" s="315"/>
      <c r="E82" s="316"/>
      <c r="F82" s="302"/>
      <c r="G82" s="314" t="s">
        <v>767</v>
      </c>
      <c r="H82" s="450"/>
      <c r="I82" s="322">
        <f>I79+I80-I81</f>
        <v>675879</v>
      </c>
      <c r="J82" s="306" t="str">
        <f>IF(E79=I82,$B$3,"")</f>
        <v>תקין</v>
      </c>
      <c r="K82" s="536" t="str">
        <f>IF(E79=I82,"",E79-I82)</f>
        <v/>
      </c>
      <c r="L82" s="313" t="str">
        <f>IF($E$79=$I$82,"",P82)</f>
        <v/>
      </c>
      <c r="M82" s="556"/>
      <c r="N82" s="281"/>
      <c r="P82" s="42" t="s">
        <v>40</v>
      </c>
    </row>
    <row r="83" spans="1:16" ht="28.5" customHeight="1">
      <c r="A83" s="483"/>
      <c r="B83" s="350"/>
      <c r="C83" s="350"/>
      <c r="D83" s="351"/>
      <c r="E83" s="352"/>
      <c r="F83" s="353"/>
      <c r="G83" s="354"/>
      <c r="H83" s="452"/>
      <c r="I83" s="352"/>
      <c r="J83" s="355"/>
      <c r="K83" s="548"/>
      <c r="L83" s="357"/>
      <c r="M83" s="556"/>
      <c r="N83" s="305"/>
    </row>
    <row r="84" spans="1:16" ht="15.75">
      <c r="A84" s="358"/>
      <c r="B84" s="620" t="s">
        <v>41</v>
      </c>
      <c r="C84" s="620"/>
      <c r="D84" s="620"/>
      <c r="E84" s="620"/>
      <c r="F84" s="620"/>
      <c r="G84" s="620"/>
      <c r="H84" s="620"/>
      <c r="I84" s="620"/>
      <c r="J84" s="359"/>
      <c r="K84" s="549"/>
      <c r="L84" s="360"/>
      <c r="M84" s="361"/>
      <c r="N84" s="281"/>
    </row>
    <row r="85" spans="1:16" ht="27.75" customHeight="1">
      <c r="A85" s="484">
        <v>52</v>
      </c>
      <c r="B85" s="362" t="s">
        <v>42</v>
      </c>
      <c r="C85" s="362" t="s">
        <v>43</v>
      </c>
      <c r="D85" s="345">
        <f>$G$3</f>
        <v>2020</v>
      </c>
      <c r="E85" s="346">
        <f>'ריכוז תברים'!H37</f>
        <v>991881</v>
      </c>
      <c r="F85" s="299" t="s">
        <v>20</v>
      </c>
      <c r="G85" s="347" t="s">
        <v>30</v>
      </c>
      <c r="H85" s="451">
        <f>$G$3</f>
        <v>2020</v>
      </c>
      <c r="I85" s="346">
        <f>תברים!F49</f>
        <v>991881</v>
      </c>
      <c r="J85" s="363" t="str">
        <f>IF(E85=I85,$B$3,"")</f>
        <v>תקין</v>
      </c>
      <c r="K85" s="550" t="str">
        <f>IF(E85=I85,"",E85-I85)</f>
        <v/>
      </c>
      <c r="L85" s="364" t="str">
        <f>IF($E$85=$I$85,"",P85)</f>
        <v/>
      </c>
      <c r="M85" s="556"/>
      <c r="N85" s="281"/>
      <c r="P85" s="42" t="s">
        <v>44</v>
      </c>
    </row>
    <row r="86" spans="1:16" ht="38.25" customHeight="1">
      <c r="A86" s="485">
        <v>53</v>
      </c>
      <c r="B86" s="365" t="s">
        <v>42</v>
      </c>
      <c r="C86" s="365" t="s">
        <v>45</v>
      </c>
      <c r="D86" s="315">
        <f>$G$3</f>
        <v>2020</v>
      </c>
      <c r="E86" s="316">
        <f>'ריכוז תברים'!J37</f>
        <v>675879</v>
      </c>
      <c r="F86" s="302" t="s">
        <v>20</v>
      </c>
      <c r="G86" s="314" t="s">
        <v>33</v>
      </c>
      <c r="H86" s="450">
        <f>$G$3</f>
        <v>2020</v>
      </c>
      <c r="I86" s="316">
        <f>תברים!F50</f>
        <v>675879</v>
      </c>
      <c r="J86" s="306" t="str">
        <f>IF(E86=I86,$B$3,"")</f>
        <v>תקין</v>
      </c>
      <c r="K86" s="536" t="str">
        <f>IF(E86=I86,"",E86-I86)</f>
        <v/>
      </c>
      <c r="L86" s="313" t="str">
        <f>IF($E86=$I86,"",P86)</f>
        <v/>
      </c>
      <c r="M86" s="556"/>
      <c r="N86" s="305"/>
      <c r="P86" s="42" t="s">
        <v>46</v>
      </c>
    </row>
    <row r="87" spans="1:16" ht="47.25" customHeight="1">
      <c r="A87" s="485">
        <v>54</v>
      </c>
      <c r="B87" s="365" t="s">
        <v>42</v>
      </c>
      <c r="C87" s="365" t="s">
        <v>47</v>
      </c>
      <c r="D87" s="315">
        <f>$F$3</f>
        <v>2021</v>
      </c>
      <c r="E87" s="316">
        <f>'ריכוז תברים'!L37</f>
        <v>37404</v>
      </c>
      <c r="F87" s="302" t="s">
        <v>20</v>
      </c>
      <c r="G87" s="314" t="s">
        <v>866</v>
      </c>
      <c r="H87" s="450">
        <f>$F$3</f>
        <v>2021</v>
      </c>
      <c r="I87" s="316">
        <f>תברים!D30</f>
        <v>37404</v>
      </c>
      <c r="J87" s="306" t="str">
        <f>IF(E87=I87,$B$3,"")</f>
        <v>תקין</v>
      </c>
      <c r="K87" s="536" t="str">
        <f>IF(E87=I87,"",E87-I87)</f>
        <v/>
      </c>
      <c r="L87" s="313" t="str">
        <f>IF($E87=$I87,"",P87)</f>
        <v/>
      </c>
      <c r="M87" s="556"/>
      <c r="N87" s="305"/>
      <c r="P87" s="42" t="s">
        <v>48</v>
      </c>
    </row>
    <row r="88" spans="1:16" ht="40.5" customHeight="1">
      <c r="A88" s="484">
        <v>55</v>
      </c>
      <c r="B88" s="365" t="s">
        <v>42</v>
      </c>
      <c r="C88" s="365" t="s">
        <v>49</v>
      </c>
      <c r="D88" s="315">
        <f>$F$3</f>
        <v>2021</v>
      </c>
      <c r="E88" s="316">
        <f>'ריכוז תברים'!N37</f>
        <v>26036</v>
      </c>
      <c r="F88" s="302" t="s">
        <v>20</v>
      </c>
      <c r="G88" s="314" t="s">
        <v>874</v>
      </c>
      <c r="H88" s="450">
        <f>$F$3</f>
        <v>2021</v>
      </c>
      <c r="I88" s="316">
        <f>תברים!D39</f>
        <v>26036</v>
      </c>
      <c r="J88" s="306" t="str">
        <f>IF(E88=I88,$B$3,"")</f>
        <v>תקין</v>
      </c>
      <c r="K88" s="536" t="str">
        <f>IF(E88=I88,"",E88-I88)</f>
        <v/>
      </c>
      <c r="L88" s="313" t="str">
        <f>IF($E88=$I88,"",P88)</f>
        <v/>
      </c>
      <c r="M88" s="556"/>
      <c r="N88" s="281"/>
      <c r="P88" s="42" t="s">
        <v>50</v>
      </c>
    </row>
    <row r="89" spans="1:16" ht="39" customHeight="1">
      <c r="A89" s="484">
        <v>56</v>
      </c>
      <c r="B89" s="365" t="s">
        <v>42</v>
      </c>
      <c r="C89" s="365" t="s">
        <v>807</v>
      </c>
      <c r="D89" s="315">
        <f>$F$3</f>
        <v>2021</v>
      </c>
      <c r="E89" s="316">
        <f>'ריכוז תברים'!P37</f>
        <v>1029285</v>
      </c>
      <c r="F89" s="302" t="s">
        <v>20</v>
      </c>
      <c r="G89" s="314" t="s">
        <v>30</v>
      </c>
      <c r="H89" s="450">
        <f>$F$3</f>
        <v>2021</v>
      </c>
      <c r="I89" s="316">
        <f>תברים!D49</f>
        <v>1029285</v>
      </c>
      <c r="J89" s="324"/>
      <c r="K89" s="543"/>
      <c r="L89" s="325"/>
      <c r="M89" s="366"/>
      <c r="N89" s="281"/>
    </row>
    <row r="90" spans="1:16" ht="39" customHeight="1">
      <c r="A90" s="484"/>
      <c r="B90" s="365"/>
      <c r="C90" s="365"/>
      <c r="D90" s="315"/>
      <c r="E90" s="316"/>
      <c r="F90" s="302" t="s">
        <v>20</v>
      </c>
      <c r="G90" s="314" t="s">
        <v>882</v>
      </c>
      <c r="H90" s="450">
        <f>$F$3</f>
        <v>2021</v>
      </c>
      <c r="I90" s="316">
        <f>תברים!D57</f>
        <v>0</v>
      </c>
      <c r="J90" s="324"/>
      <c r="K90" s="543"/>
      <c r="L90" s="325"/>
      <c r="M90" s="366"/>
      <c r="N90" s="281"/>
    </row>
    <row r="91" spans="1:16" ht="39" customHeight="1">
      <c r="A91" s="484"/>
      <c r="B91" s="365"/>
      <c r="C91" s="365"/>
      <c r="D91" s="315"/>
      <c r="E91" s="316"/>
      <c r="F91" s="302"/>
      <c r="G91" s="314" t="s">
        <v>767</v>
      </c>
      <c r="H91" s="450"/>
      <c r="I91" s="322">
        <f>SUM(I89:I90)</f>
        <v>1029285</v>
      </c>
      <c r="J91" s="306" t="str">
        <f>IF(E89=I91,$B$3,"")</f>
        <v>תקין</v>
      </c>
      <c r="K91" s="536" t="str">
        <f>IF(E89=I91,"",E89-I91)</f>
        <v/>
      </c>
      <c r="L91" s="313" t="str">
        <f>IF(E89=I91,"",$P$91)</f>
        <v/>
      </c>
      <c r="M91" s="556"/>
      <c r="N91" s="281"/>
      <c r="P91" s="42" t="s">
        <v>51</v>
      </c>
    </row>
    <row r="92" spans="1:16" ht="30.75" customHeight="1">
      <c r="A92" s="484">
        <v>57</v>
      </c>
      <c r="B92" s="365" t="s">
        <v>42</v>
      </c>
      <c r="C92" s="365" t="s">
        <v>808</v>
      </c>
      <c r="D92" s="315">
        <f>$F$3</f>
        <v>2021</v>
      </c>
      <c r="E92" s="316">
        <f>'ריכוז תברים'!R37</f>
        <v>701915</v>
      </c>
      <c r="F92" s="302" t="s">
        <v>20</v>
      </c>
      <c r="G92" s="314" t="s">
        <v>33</v>
      </c>
      <c r="H92" s="450">
        <f>$F$3</f>
        <v>2021</v>
      </c>
      <c r="I92" s="316">
        <f>תברים!D50</f>
        <v>701915</v>
      </c>
      <c r="J92" s="306"/>
      <c r="K92" s="536"/>
      <c r="L92" s="313"/>
      <c r="M92" s="556"/>
      <c r="N92" s="281"/>
    </row>
    <row r="93" spans="1:16" ht="30.75" customHeight="1">
      <c r="A93" s="484"/>
      <c r="B93" s="365"/>
      <c r="C93" s="365"/>
      <c r="D93" s="315"/>
      <c r="E93" s="316"/>
      <c r="F93" s="302"/>
      <c r="G93" s="314" t="s">
        <v>52</v>
      </c>
      <c r="H93" s="450">
        <f>$F$3</f>
        <v>2021</v>
      </c>
      <c r="I93" s="316">
        <f>תברים!D58</f>
        <v>0</v>
      </c>
      <c r="J93" s="306"/>
      <c r="K93" s="536"/>
      <c r="L93" s="313"/>
      <c r="M93" s="556"/>
      <c r="N93" s="281"/>
    </row>
    <row r="94" spans="1:16" ht="35.25" customHeight="1">
      <c r="A94" s="484"/>
      <c r="B94" s="365"/>
      <c r="C94" s="365"/>
      <c r="D94" s="315"/>
      <c r="E94" s="316"/>
      <c r="F94" s="302"/>
      <c r="G94" s="314" t="s">
        <v>767</v>
      </c>
      <c r="H94" s="450"/>
      <c r="I94" s="322">
        <f>SUM(I92:I93)</f>
        <v>701915</v>
      </c>
      <c r="J94" s="306" t="str">
        <f>IF(E92=I94,$B$3,"")</f>
        <v>תקין</v>
      </c>
      <c r="K94" s="536" t="str">
        <f>IF(E92=I94,"",E92-I94)</f>
        <v/>
      </c>
      <c r="L94" s="313" t="str">
        <f>IF(E92=I94,"",$P$94)</f>
        <v/>
      </c>
      <c r="M94" s="556"/>
      <c r="N94" s="281"/>
      <c r="P94" s="42" t="s">
        <v>53</v>
      </c>
    </row>
    <row r="95" spans="1:16" ht="24" customHeight="1">
      <c r="A95" s="484">
        <v>58</v>
      </c>
      <c r="B95" s="365" t="s">
        <v>42</v>
      </c>
      <c r="C95" s="365" t="s">
        <v>54</v>
      </c>
      <c r="D95" s="315">
        <f t="shared" ref="D95:D153" si="2">$F$3</f>
        <v>2021</v>
      </c>
      <c r="E95" s="316">
        <f>'ריכוז תברים'!X37</f>
        <v>327370</v>
      </c>
      <c r="F95" s="302" t="s">
        <v>20</v>
      </c>
      <c r="G95" s="314" t="s">
        <v>879</v>
      </c>
      <c r="H95" s="450">
        <f>$F$3</f>
        <v>2021</v>
      </c>
      <c r="I95" s="316">
        <f>תברים!D55</f>
        <v>327370</v>
      </c>
      <c r="J95" s="306" t="str">
        <f>IF(E95=I95,$B$3,"")</f>
        <v>תקין</v>
      </c>
      <c r="K95" s="536" t="str">
        <f>IF(E95=I95,"",E95-I95)</f>
        <v/>
      </c>
      <c r="L95" s="313" t="str">
        <f>IF($E95=$I95,"",P95)</f>
        <v/>
      </c>
      <c r="M95" s="556"/>
      <c r="N95" s="305"/>
      <c r="P95" s="42" t="s">
        <v>55</v>
      </c>
    </row>
    <row r="96" spans="1:16">
      <c r="A96" s="484">
        <v>59</v>
      </c>
      <c r="B96" s="365" t="s">
        <v>42</v>
      </c>
      <c r="C96" s="365" t="s">
        <v>56</v>
      </c>
      <c r="D96" s="315">
        <f t="shared" si="2"/>
        <v>2021</v>
      </c>
      <c r="E96" s="316">
        <f>'ריכוז תברים'!D8</f>
        <v>0</v>
      </c>
      <c r="F96" s="302"/>
      <c r="G96" s="314"/>
      <c r="H96" s="450"/>
      <c r="I96" s="316"/>
      <c r="J96" s="568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6"/>
      <c r="L96" s="569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70"/>
      <c r="N96" s="281"/>
      <c r="P96" s="42" t="s">
        <v>57</v>
      </c>
    </row>
    <row r="97" spans="1:16">
      <c r="A97" s="484">
        <v>60</v>
      </c>
      <c r="B97" s="365" t="s">
        <v>42</v>
      </c>
      <c r="C97" s="365" t="s">
        <v>58</v>
      </c>
      <c r="D97" s="315">
        <f t="shared" si="2"/>
        <v>2021</v>
      </c>
      <c r="E97" s="316">
        <f>'ריכוז תברים'!D9</f>
        <v>0</v>
      </c>
      <c r="F97" s="302"/>
      <c r="G97" s="314"/>
      <c r="H97" s="450"/>
      <c r="I97" s="316"/>
      <c r="J97" s="568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6"/>
      <c r="L97" s="569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70"/>
      <c r="N97" s="281"/>
      <c r="P97" s="42" t="s">
        <v>57</v>
      </c>
    </row>
    <row r="98" spans="1:16">
      <c r="A98" s="484">
        <v>61</v>
      </c>
      <c r="B98" s="365" t="s">
        <v>42</v>
      </c>
      <c r="C98" s="365" t="s">
        <v>59</v>
      </c>
      <c r="D98" s="315">
        <f t="shared" si="2"/>
        <v>2021</v>
      </c>
      <c r="E98" s="316">
        <f>'ריכוז תברים'!D10</f>
        <v>0</v>
      </c>
      <c r="F98" s="302"/>
      <c r="G98" s="314"/>
      <c r="H98" s="450"/>
      <c r="I98" s="316"/>
      <c r="J98" s="568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6"/>
      <c r="L98" s="569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70"/>
      <c r="N98" s="281"/>
      <c r="P98" s="42" t="s">
        <v>57</v>
      </c>
    </row>
    <row r="99" spans="1:16">
      <c r="A99" s="484">
        <v>62</v>
      </c>
      <c r="B99" s="365" t="s">
        <v>42</v>
      </c>
      <c r="C99" s="365" t="s">
        <v>60</v>
      </c>
      <c r="D99" s="315">
        <f t="shared" si="2"/>
        <v>2021</v>
      </c>
      <c r="E99" s="316">
        <f>'ריכוז תברים'!D11</f>
        <v>0</v>
      </c>
      <c r="F99" s="302"/>
      <c r="G99" s="314"/>
      <c r="H99" s="450"/>
      <c r="I99" s="316"/>
      <c r="J99" s="568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6"/>
      <c r="L99" s="569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70"/>
      <c r="N99" s="281"/>
      <c r="P99" s="42" t="s">
        <v>57</v>
      </c>
    </row>
    <row r="100" spans="1:16">
      <c r="A100" s="484">
        <v>63</v>
      </c>
      <c r="B100" s="365" t="s">
        <v>42</v>
      </c>
      <c r="C100" s="365" t="s">
        <v>61</v>
      </c>
      <c r="D100" s="315">
        <f t="shared" si="2"/>
        <v>2021</v>
      </c>
      <c r="E100" s="316">
        <f>'ריכוז תברים'!D12</f>
        <v>17</v>
      </c>
      <c r="F100" s="302"/>
      <c r="G100" s="314"/>
      <c r="H100" s="450"/>
      <c r="I100" s="316"/>
      <c r="J100" s="568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6"/>
      <c r="L100" s="569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70"/>
      <c r="N100" s="281"/>
      <c r="P100" s="42" t="s">
        <v>57</v>
      </c>
    </row>
    <row r="101" spans="1:16">
      <c r="A101" s="484">
        <v>64</v>
      </c>
      <c r="B101" s="365" t="s">
        <v>42</v>
      </c>
      <c r="C101" s="365" t="s">
        <v>62</v>
      </c>
      <c r="D101" s="315">
        <f t="shared" si="2"/>
        <v>2021</v>
      </c>
      <c r="E101" s="316">
        <f>'ריכוז תברים'!D13</f>
        <v>4</v>
      </c>
      <c r="F101" s="302"/>
      <c r="G101" s="314"/>
      <c r="H101" s="450"/>
      <c r="I101" s="316"/>
      <c r="J101" s="568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6"/>
      <c r="L101" s="569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70"/>
      <c r="N101" s="281"/>
      <c r="P101" s="42" t="s">
        <v>57</v>
      </c>
    </row>
    <row r="102" spans="1:16">
      <c r="A102" s="484">
        <v>65</v>
      </c>
      <c r="B102" s="365" t="s">
        <v>42</v>
      </c>
      <c r="C102" s="365" t="s">
        <v>63</v>
      </c>
      <c r="D102" s="315">
        <f t="shared" si="2"/>
        <v>2021</v>
      </c>
      <c r="E102" s="316">
        <f>'ריכוז תברים'!D14</f>
        <v>39</v>
      </c>
      <c r="F102" s="302"/>
      <c r="G102" s="314"/>
      <c r="H102" s="450"/>
      <c r="I102" s="316"/>
      <c r="J102" s="568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6"/>
      <c r="L102" s="569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70"/>
      <c r="N102" s="281"/>
      <c r="P102" s="42" t="s">
        <v>57</v>
      </c>
    </row>
    <row r="103" spans="1:16">
      <c r="A103" s="484">
        <v>66</v>
      </c>
      <c r="B103" s="365" t="s">
        <v>42</v>
      </c>
      <c r="C103" s="365" t="s">
        <v>64</v>
      </c>
      <c r="D103" s="315">
        <f t="shared" si="2"/>
        <v>2021</v>
      </c>
      <c r="E103" s="316">
        <f>'ריכוז תברים'!D15</f>
        <v>112</v>
      </c>
      <c r="F103" s="302"/>
      <c r="G103" s="314"/>
      <c r="H103" s="450"/>
      <c r="I103" s="316"/>
      <c r="J103" s="568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6"/>
      <c r="L103" s="569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70"/>
      <c r="N103" s="281"/>
      <c r="P103" s="42" t="s">
        <v>57</v>
      </c>
    </row>
    <row r="104" spans="1:16">
      <c r="A104" s="484">
        <v>67</v>
      </c>
      <c r="B104" s="365" t="s">
        <v>42</v>
      </c>
      <c r="C104" s="365" t="s">
        <v>65</v>
      </c>
      <c r="D104" s="315">
        <f t="shared" si="2"/>
        <v>2021</v>
      </c>
      <c r="E104" s="316">
        <f>'ריכוז תברים'!D16</f>
        <v>0</v>
      </c>
      <c r="F104" s="302"/>
      <c r="G104" s="314"/>
      <c r="H104" s="450"/>
      <c r="I104" s="316"/>
      <c r="J104" s="568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6"/>
      <c r="L104" s="569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70"/>
      <c r="N104" s="281"/>
      <c r="P104" s="42" t="s">
        <v>57</v>
      </c>
    </row>
    <row r="105" spans="1:16">
      <c r="A105" s="484">
        <v>68</v>
      </c>
      <c r="B105" s="365" t="s">
        <v>42</v>
      </c>
      <c r="C105" s="365" t="s">
        <v>66</v>
      </c>
      <c r="D105" s="315">
        <f t="shared" si="2"/>
        <v>2021</v>
      </c>
      <c r="E105" s="316">
        <f>'ריכוז תברים'!D17</f>
        <v>9</v>
      </c>
      <c r="F105" s="302"/>
      <c r="G105" s="314"/>
      <c r="H105" s="450"/>
      <c r="I105" s="316"/>
      <c r="J105" s="568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6"/>
      <c r="L105" s="569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70"/>
      <c r="N105" s="281"/>
      <c r="P105" s="42" t="s">
        <v>57</v>
      </c>
    </row>
    <row r="106" spans="1:16">
      <c r="A106" s="484">
        <v>69</v>
      </c>
      <c r="B106" s="365" t="s">
        <v>42</v>
      </c>
      <c r="C106" s="365" t="s">
        <v>67</v>
      </c>
      <c r="D106" s="315">
        <f t="shared" si="2"/>
        <v>2021</v>
      </c>
      <c r="E106" s="316">
        <f>'ריכוז תברים'!D18</f>
        <v>0</v>
      </c>
      <c r="F106" s="302"/>
      <c r="G106" s="314"/>
      <c r="H106" s="450"/>
      <c r="I106" s="316"/>
      <c r="J106" s="568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6"/>
      <c r="L106" s="569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70"/>
      <c r="N106" s="281"/>
      <c r="P106" s="42" t="s">
        <v>57</v>
      </c>
    </row>
    <row r="107" spans="1:16">
      <c r="A107" s="484">
        <v>70</v>
      </c>
      <c r="B107" s="365" t="s">
        <v>42</v>
      </c>
      <c r="C107" s="365" t="s">
        <v>68</v>
      </c>
      <c r="D107" s="315">
        <f t="shared" si="2"/>
        <v>2021</v>
      </c>
      <c r="E107" s="316">
        <f>'ריכוז תברים'!D19</f>
        <v>0</v>
      </c>
      <c r="F107" s="302"/>
      <c r="G107" s="314"/>
      <c r="H107" s="450"/>
      <c r="I107" s="316"/>
      <c r="J107" s="568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6"/>
      <c r="L107" s="569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70"/>
      <c r="N107" s="281"/>
      <c r="P107" s="42" t="s">
        <v>57</v>
      </c>
    </row>
    <row r="108" spans="1:16">
      <c r="A108" s="484">
        <v>71</v>
      </c>
      <c r="B108" s="365" t="s">
        <v>42</v>
      </c>
      <c r="C108" s="365" t="s">
        <v>69</v>
      </c>
      <c r="D108" s="315">
        <f t="shared" si="2"/>
        <v>2021</v>
      </c>
      <c r="E108" s="316">
        <f>'ריכוז תברים'!D20</f>
        <v>0</v>
      </c>
      <c r="F108" s="302"/>
      <c r="G108" s="314"/>
      <c r="H108" s="450"/>
      <c r="I108" s="316"/>
      <c r="J108" s="568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6"/>
      <c r="L108" s="569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70"/>
      <c r="N108" s="281"/>
      <c r="P108" s="42" t="s">
        <v>57</v>
      </c>
    </row>
    <row r="109" spans="1:16">
      <c r="A109" s="484">
        <v>72</v>
      </c>
      <c r="B109" s="365" t="s">
        <v>42</v>
      </c>
      <c r="C109" s="365" t="s">
        <v>70</v>
      </c>
      <c r="D109" s="315">
        <f t="shared" si="2"/>
        <v>2021</v>
      </c>
      <c r="E109" s="316">
        <f>'ריכוז תברים'!D21</f>
        <v>73</v>
      </c>
      <c r="F109" s="302"/>
      <c r="G109" s="314"/>
      <c r="H109" s="450"/>
      <c r="I109" s="316"/>
      <c r="J109" s="568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6"/>
      <c r="L109" s="569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70"/>
      <c r="N109" s="281"/>
      <c r="P109" s="42" t="s">
        <v>57</v>
      </c>
    </row>
    <row r="110" spans="1:16">
      <c r="A110" s="484">
        <v>73</v>
      </c>
      <c r="B110" s="365" t="s">
        <v>42</v>
      </c>
      <c r="C110" s="365" t="s">
        <v>72</v>
      </c>
      <c r="D110" s="315">
        <f t="shared" si="2"/>
        <v>2021</v>
      </c>
      <c r="E110" s="316">
        <f>'ריכוז תברים'!D22</f>
        <v>20</v>
      </c>
      <c r="F110" s="302"/>
      <c r="G110" s="314"/>
      <c r="H110" s="450"/>
      <c r="I110" s="316"/>
      <c r="J110" s="568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6"/>
      <c r="L110" s="569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70"/>
      <c r="N110" s="281"/>
      <c r="P110" s="42" t="s">
        <v>57</v>
      </c>
    </row>
    <row r="111" spans="1:16">
      <c r="A111" s="484">
        <v>74</v>
      </c>
      <c r="B111" s="365" t="s">
        <v>42</v>
      </c>
      <c r="C111" s="365" t="s">
        <v>73</v>
      </c>
      <c r="D111" s="315">
        <f t="shared" si="2"/>
        <v>2021</v>
      </c>
      <c r="E111" s="316">
        <f>'ריכוז תברים'!D23</f>
        <v>1</v>
      </c>
      <c r="F111" s="302"/>
      <c r="G111" s="314"/>
      <c r="H111" s="450"/>
      <c r="I111" s="316"/>
      <c r="J111" s="568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6"/>
      <c r="L111" s="569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70"/>
      <c r="N111" s="281"/>
      <c r="P111" s="42" t="s">
        <v>57</v>
      </c>
    </row>
    <row r="112" spans="1:16">
      <c r="A112" s="484">
        <v>75</v>
      </c>
      <c r="B112" s="365" t="s">
        <v>42</v>
      </c>
      <c r="C112" s="365" t="s">
        <v>74</v>
      </c>
      <c r="D112" s="315">
        <f t="shared" si="2"/>
        <v>2021</v>
      </c>
      <c r="E112" s="316">
        <f>'ריכוז תברים'!D24</f>
        <v>3</v>
      </c>
      <c r="F112" s="302"/>
      <c r="G112" s="314"/>
      <c r="H112" s="450"/>
      <c r="I112" s="316"/>
      <c r="J112" s="568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6"/>
      <c r="L112" s="569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70"/>
      <c r="N112" s="281"/>
      <c r="P112" s="42" t="s">
        <v>57</v>
      </c>
    </row>
    <row r="113" spans="1:16">
      <c r="A113" s="484">
        <v>76</v>
      </c>
      <c r="B113" s="365" t="s">
        <v>42</v>
      </c>
      <c r="C113" s="365" t="s">
        <v>75</v>
      </c>
      <c r="D113" s="315">
        <f t="shared" si="2"/>
        <v>2021</v>
      </c>
      <c r="E113" s="316">
        <f>'ריכוז תברים'!D25</f>
        <v>4</v>
      </c>
      <c r="F113" s="302"/>
      <c r="G113" s="314"/>
      <c r="H113" s="450"/>
      <c r="I113" s="316"/>
      <c r="J113" s="568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6"/>
      <c r="L113" s="569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70"/>
      <c r="N113" s="281"/>
      <c r="P113" s="42" t="s">
        <v>57</v>
      </c>
    </row>
    <row r="114" spans="1:16">
      <c r="A114" s="484">
        <v>77</v>
      </c>
      <c r="B114" s="365" t="s">
        <v>42</v>
      </c>
      <c r="C114" s="365" t="s">
        <v>76</v>
      </c>
      <c r="D114" s="315">
        <f t="shared" si="2"/>
        <v>2021</v>
      </c>
      <c r="E114" s="316">
        <f>'ריכוז תברים'!D26</f>
        <v>0</v>
      </c>
      <c r="F114" s="302"/>
      <c r="G114" s="314"/>
      <c r="H114" s="450"/>
      <c r="I114" s="316"/>
      <c r="J114" s="568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6"/>
      <c r="L114" s="569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70"/>
      <c r="N114" s="281"/>
      <c r="P114" s="42" t="s">
        <v>57</v>
      </c>
    </row>
    <row r="115" spans="1:16">
      <c r="A115" s="484">
        <v>78</v>
      </c>
      <c r="B115" s="365" t="s">
        <v>42</v>
      </c>
      <c r="C115" s="365" t="s">
        <v>77</v>
      </c>
      <c r="D115" s="315">
        <f t="shared" si="2"/>
        <v>2021</v>
      </c>
      <c r="E115" s="316">
        <f>'ריכוז תברים'!D27</f>
        <v>6</v>
      </c>
      <c r="F115" s="302"/>
      <c r="G115" s="314"/>
      <c r="H115" s="450"/>
      <c r="I115" s="316"/>
      <c r="J115" s="568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6"/>
      <c r="L115" s="569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70"/>
      <c r="N115" s="281"/>
      <c r="P115" s="42" t="s">
        <v>57</v>
      </c>
    </row>
    <row r="116" spans="1:16">
      <c r="A116" s="484">
        <v>79</v>
      </c>
      <c r="B116" s="365" t="s">
        <v>42</v>
      </c>
      <c r="C116" s="365" t="s">
        <v>78</v>
      </c>
      <c r="D116" s="315">
        <f t="shared" si="2"/>
        <v>2021</v>
      </c>
      <c r="E116" s="316">
        <f>'ריכוז תברים'!D28</f>
        <v>0</v>
      </c>
      <c r="F116" s="302"/>
      <c r="G116" s="314"/>
      <c r="H116" s="450"/>
      <c r="I116" s="316"/>
      <c r="J116" s="568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6"/>
      <c r="L116" s="569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70"/>
      <c r="N116" s="281"/>
      <c r="P116" s="42" t="s">
        <v>57</v>
      </c>
    </row>
    <row r="117" spans="1:16">
      <c r="A117" s="484">
        <v>80</v>
      </c>
      <c r="B117" s="365" t="s">
        <v>42</v>
      </c>
      <c r="C117" s="365" t="s">
        <v>79</v>
      </c>
      <c r="D117" s="315">
        <f t="shared" si="2"/>
        <v>2021</v>
      </c>
      <c r="E117" s="316">
        <f>'ריכוז תברים'!D29</f>
        <v>0</v>
      </c>
      <c r="F117" s="302"/>
      <c r="G117" s="314"/>
      <c r="H117" s="450"/>
      <c r="I117" s="316"/>
      <c r="J117" s="568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6"/>
      <c r="L117" s="569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70"/>
      <c r="N117" s="281"/>
      <c r="P117" s="42" t="s">
        <v>57</v>
      </c>
    </row>
    <row r="118" spans="1:16">
      <c r="A118" s="484">
        <v>81</v>
      </c>
      <c r="B118" s="365" t="s">
        <v>42</v>
      </c>
      <c r="C118" s="365" t="s">
        <v>80</v>
      </c>
      <c r="D118" s="315">
        <f t="shared" si="2"/>
        <v>2021</v>
      </c>
      <c r="E118" s="316">
        <f>'ריכוז תברים'!D30</f>
        <v>27</v>
      </c>
      <c r="F118" s="302"/>
      <c r="G118" s="314"/>
      <c r="H118" s="450"/>
      <c r="I118" s="316"/>
      <c r="J118" s="568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6"/>
      <c r="L118" s="569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70"/>
      <c r="N118" s="281"/>
      <c r="P118" s="42" t="s">
        <v>57</v>
      </c>
    </row>
    <row r="119" spans="1:16">
      <c r="A119" s="484">
        <v>82</v>
      </c>
      <c r="B119" s="365" t="s">
        <v>42</v>
      </c>
      <c r="C119" s="365" t="s">
        <v>81</v>
      </c>
      <c r="D119" s="315">
        <f t="shared" si="2"/>
        <v>2021</v>
      </c>
      <c r="E119" s="316">
        <f>'ריכוז תברים'!D31</f>
        <v>0</v>
      </c>
      <c r="F119" s="302"/>
      <c r="G119" s="314"/>
      <c r="H119" s="450"/>
      <c r="I119" s="316"/>
      <c r="J119" s="306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6"/>
      <c r="L119" s="313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6"/>
      <c r="N119" s="281"/>
      <c r="P119" s="42" t="s">
        <v>57</v>
      </c>
    </row>
    <row r="120" spans="1:16">
      <c r="A120" s="484">
        <v>83</v>
      </c>
      <c r="B120" s="365" t="s">
        <v>42</v>
      </c>
      <c r="C120" s="365" t="s">
        <v>82</v>
      </c>
      <c r="D120" s="315">
        <f t="shared" si="2"/>
        <v>2021</v>
      </c>
      <c r="E120" s="316">
        <f>'ריכוז תברים'!D32</f>
        <v>0</v>
      </c>
      <c r="F120" s="302"/>
      <c r="G120" s="314"/>
      <c r="H120" s="450"/>
      <c r="I120" s="316"/>
      <c r="J120" s="306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6"/>
      <c r="L120" s="313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6"/>
      <c r="N120" s="281"/>
      <c r="P120" s="42" t="s">
        <v>57</v>
      </c>
    </row>
    <row r="121" spans="1:16">
      <c r="A121" s="484">
        <v>84</v>
      </c>
      <c r="B121" s="365" t="s">
        <v>42</v>
      </c>
      <c r="C121" s="365" t="s">
        <v>83</v>
      </c>
      <c r="D121" s="315">
        <f t="shared" si="2"/>
        <v>2021</v>
      </c>
      <c r="E121" s="316">
        <f>'ריכוז תברים'!D33</f>
        <v>0</v>
      </c>
      <c r="F121" s="302"/>
      <c r="G121" s="314"/>
      <c r="H121" s="450"/>
      <c r="I121" s="316"/>
      <c r="J121" s="306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6"/>
      <c r="L121" s="313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6"/>
      <c r="N121" s="281"/>
      <c r="P121" s="42" t="s">
        <v>57</v>
      </c>
    </row>
    <row r="122" spans="1:16">
      <c r="A122" s="484">
        <v>85</v>
      </c>
      <c r="B122" s="365" t="s">
        <v>42</v>
      </c>
      <c r="C122" s="365" t="s">
        <v>84</v>
      </c>
      <c r="D122" s="315">
        <f t="shared" si="2"/>
        <v>2021</v>
      </c>
      <c r="E122" s="316">
        <f>'ריכוז תברים'!D34</f>
        <v>0</v>
      </c>
      <c r="F122" s="302"/>
      <c r="G122" s="314"/>
      <c r="H122" s="450"/>
      <c r="I122" s="316"/>
      <c r="J122" s="306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6"/>
      <c r="L122" s="313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6"/>
      <c r="N122" s="281"/>
      <c r="P122" s="42" t="s">
        <v>57</v>
      </c>
    </row>
    <row r="123" spans="1:16">
      <c r="A123" s="484">
        <v>86</v>
      </c>
      <c r="B123" s="365" t="s">
        <v>42</v>
      </c>
      <c r="C123" s="365" t="s">
        <v>85</v>
      </c>
      <c r="D123" s="315">
        <f t="shared" si="2"/>
        <v>2021</v>
      </c>
      <c r="E123" s="316">
        <f>'ריכוז תברים'!D35</f>
        <v>0</v>
      </c>
      <c r="F123" s="302"/>
      <c r="G123" s="314"/>
      <c r="H123" s="450"/>
      <c r="I123" s="316"/>
      <c r="J123" s="306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6"/>
      <c r="L123" s="313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6"/>
      <c r="N123" s="281"/>
      <c r="P123" s="42" t="s">
        <v>57</v>
      </c>
    </row>
    <row r="124" spans="1:16">
      <c r="A124" s="484">
        <v>87</v>
      </c>
      <c r="B124" s="365" t="s">
        <v>42</v>
      </c>
      <c r="C124" s="365" t="s">
        <v>86</v>
      </c>
      <c r="D124" s="315">
        <f t="shared" si="2"/>
        <v>2021</v>
      </c>
      <c r="E124" s="316">
        <f>'ריכוז תברים'!D36</f>
        <v>1</v>
      </c>
      <c r="F124" s="302"/>
      <c r="G124" s="314"/>
      <c r="H124" s="450"/>
      <c r="I124" s="316"/>
      <c r="J124" s="306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6"/>
      <c r="L124" s="313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6"/>
      <c r="N124" s="281"/>
      <c r="P124" s="42" t="s">
        <v>57</v>
      </c>
    </row>
    <row r="125" spans="1:16">
      <c r="A125" s="484">
        <v>88</v>
      </c>
      <c r="B125" s="365" t="s">
        <v>42</v>
      </c>
      <c r="C125" s="365" t="s">
        <v>87</v>
      </c>
      <c r="D125" s="315">
        <f t="shared" si="2"/>
        <v>2021</v>
      </c>
      <c r="E125" s="320">
        <f>'ריכוז תברים'!F8</f>
        <v>0</v>
      </c>
      <c r="F125" s="332"/>
      <c r="G125" s="333"/>
      <c r="H125" s="444"/>
      <c r="I125" s="320"/>
      <c r="J125" s="306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5"/>
      <c r="L125" s="313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6"/>
      <c r="N125" s="281"/>
      <c r="P125" s="42" t="s">
        <v>88</v>
      </c>
    </row>
    <row r="126" spans="1:16">
      <c r="A126" s="484">
        <v>89</v>
      </c>
      <c r="B126" s="365" t="s">
        <v>42</v>
      </c>
      <c r="C126" s="365" t="s">
        <v>89</v>
      </c>
      <c r="D126" s="315">
        <f t="shared" si="2"/>
        <v>2021</v>
      </c>
      <c r="E126" s="320">
        <f>'ריכוז תברים'!F9</f>
        <v>0</v>
      </c>
      <c r="F126" s="332"/>
      <c r="G126" s="333"/>
      <c r="H126" s="444"/>
      <c r="I126" s="320"/>
      <c r="J126" s="337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5"/>
      <c r="L126" s="339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7"/>
      <c r="N126" s="281"/>
      <c r="P126" s="42" t="s">
        <v>88</v>
      </c>
    </row>
    <row r="127" spans="1:16">
      <c r="A127" s="484">
        <v>90</v>
      </c>
      <c r="B127" s="365" t="s">
        <v>42</v>
      </c>
      <c r="C127" s="365" t="s">
        <v>90</v>
      </c>
      <c r="D127" s="315">
        <f t="shared" si="2"/>
        <v>2021</v>
      </c>
      <c r="E127" s="320">
        <f>'ריכוז תברים'!F10</f>
        <v>0</v>
      </c>
      <c r="F127" s="332"/>
      <c r="G127" s="333"/>
      <c r="H127" s="444"/>
      <c r="I127" s="320"/>
      <c r="J127" s="337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5"/>
      <c r="L127" s="339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7"/>
      <c r="N127" s="281"/>
      <c r="P127" s="42" t="s">
        <v>88</v>
      </c>
    </row>
    <row r="128" spans="1:16">
      <c r="A128" s="484">
        <v>91</v>
      </c>
      <c r="B128" s="365" t="s">
        <v>42</v>
      </c>
      <c r="C128" s="365" t="s">
        <v>91</v>
      </c>
      <c r="D128" s="315">
        <f t="shared" si="2"/>
        <v>2021</v>
      </c>
      <c r="E128" s="320">
        <f>'ריכוז תברים'!F11</f>
        <v>0</v>
      </c>
      <c r="F128" s="332"/>
      <c r="G128" s="333"/>
      <c r="H128" s="444"/>
      <c r="I128" s="320"/>
      <c r="J128" s="337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5"/>
      <c r="L128" s="339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7"/>
      <c r="N128" s="281"/>
      <c r="P128" s="42" t="s">
        <v>88</v>
      </c>
    </row>
    <row r="129" spans="1:16">
      <c r="A129" s="484">
        <v>92</v>
      </c>
      <c r="B129" s="365" t="s">
        <v>42</v>
      </c>
      <c r="C129" s="365" t="s">
        <v>92</v>
      </c>
      <c r="D129" s="315">
        <f t="shared" si="2"/>
        <v>2021</v>
      </c>
      <c r="E129" s="320">
        <f>'ריכוז תברים'!F12</f>
        <v>25642</v>
      </c>
      <c r="F129" s="332"/>
      <c r="G129" s="333"/>
      <c r="H129" s="444"/>
      <c r="I129" s="320"/>
      <c r="J129" s="337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5"/>
      <c r="L129" s="339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7"/>
      <c r="N129" s="281"/>
      <c r="P129" s="42" t="s">
        <v>88</v>
      </c>
    </row>
    <row r="130" spans="1:16">
      <c r="A130" s="484">
        <v>93</v>
      </c>
      <c r="B130" s="365" t="s">
        <v>42</v>
      </c>
      <c r="C130" s="365" t="s">
        <v>93</v>
      </c>
      <c r="D130" s="315">
        <f t="shared" si="2"/>
        <v>2021</v>
      </c>
      <c r="E130" s="320">
        <f>'ריכוז תברים'!F13</f>
        <v>1850</v>
      </c>
      <c r="F130" s="332"/>
      <c r="G130" s="333"/>
      <c r="H130" s="444"/>
      <c r="I130" s="320"/>
      <c r="J130" s="337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5"/>
      <c r="L130" s="339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7"/>
      <c r="N130" s="281"/>
      <c r="P130" s="42" t="s">
        <v>88</v>
      </c>
    </row>
    <row r="131" spans="1:16">
      <c r="A131" s="484">
        <v>94</v>
      </c>
      <c r="B131" s="365" t="s">
        <v>42</v>
      </c>
      <c r="C131" s="365" t="s">
        <v>94</v>
      </c>
      <c r="D131" s="315">
        <f t="shared" si="2"/>
        <v>2021</v>
      </c>
      <c r="E131" s="320">
        <f>'ריכוז תברים'!F14</f>
        <v>305121</v>
      </c>
      <c r="F131" s="332"/>
      <c r="G131" s="333"/>
      <c r="H131" s="444"/>
      <c r="I131" s="320"/>
      <c r="J131" s="337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5"/>
      <c r="L131" s="339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7"/>
      <c r="N131" s="281"/>
      <c r="P131" s="42" t="s">
        <v>88</v>
      </c>
    </row>
    <row r="132" spans="1:16">
      <c r="A132" s="484">
        <v>95</v>
      </c>
      <c r="B132" s="365" t="s">
        <v>42</v>
      </c>
      <c r="C132" s="365" t="s">
        <v>95</v>
      </c>
      <c r="D132" s="315">
        <f t="shared" si="2"/>
        <v>2021</v>
      </c>
      <c r="E132" s="320">
        <f>'ריכוז תברים'!F15</f>
        <v>428545</v>
      </c>
      <c r="F132" s="332"/>
      <c r="G132" s="333"/>
      <c r="H132" s="444"/>
      <c r="I132" s="320"/>
      <c r="J132" s="337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5"/>
      <c r="L132" s="339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7"/>
      <c r="N132" s="281"/>
      <c r="P132" s="42" t="s">
        <v>88</v>
      </c>
    </row>
    <row r="133" spans="1:16">
      <c r="A133" s="484">
        <v>96</v>
      </c>
      <c r="B133" s="365" t="s">
        <v>42</v>
      </c>
      <c r="C133" s="365" t="s">
        <v>96</v>
      </c>
      <c r="D133" s="315">
        <f t="shared" si="2"/>
        <v>2021</v>
      </c>
      <c r="E133" s="320">
        <f>'ריכוז תברים'!F16</f>
        <v>0</v>
      </c>
      <c r="F133" s="332"/>
      <c r="G133" s="333"/>
      <c r="H133" s="444"/>
      <c r="I133" s="320"/>
      <c r="J133" s="337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5"/>
      <c r="L133" s="339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7"/>
      <c r="N133" s="281"/>
      <c r="P133" s="42" t="s">
        <v>88</v>
      </c>
    </row>
    <row r="134" spans="1:16">
      <c r="A134" s="484">
        <v>97</v>
      </c>
      <c r="B134" s="365" t="s">
        <v>42</v>
      </c>
      <c r="C134" s="365" t="s">
        <v>97</v>
      </c>
      <c r="D134" s="315">
        <f t="shared" si="2"/>
        <v>2021</v>
      </c>
      <c r="E134" s="320">
        <f>'ריכוז תברים'!F17</f>
        <v>7790</v>
      </c>
      <c r="F134" s="332"/>
      <c r="G134" s="333"/>
      <c r="H134" s="444"/>
      <c r="I134" s="320"/>
      <c r="J134" s="337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5"/>
      <c r="L134" s="339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7"/>
      <c r="N134" s="281"/>
      <c r="P134" s="42" t="s">
        <v>88</v>
      </c>
    </row>
    <row r="135" spans="1:16">
      <c r="A135" s="484">
        <v>98</v>
      </c>
      <c r="B135" s="365" t="s">
        <v>42</v>
      </c>
      <c r="C135" s="365" t="s">
        <v>98</v>
      </c>
      <c r="D135" s="315">
        <f t="shared" si="2"/>
        <v>2021</v>
      </c>
      <c r="E135" s="320">
        <f>'ריכוז תברים'!F18</f>
        <v>0</v>
      </c>
      <c r="F135" s="332"/>
      <c r="G135" s="333"/>
      <c r="H135" s="444"/>
      <c r="I135" s="320"/>
      <c r="J135" s="337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5"/>
      <c r="L135" s="339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7"/>
      <c r="N135" s="281"/>
      <c r="P135" s="42" t="s">
        <v>88</v>
      </c>
    </row>
    <row r="136" spans="1:16">
      <c r="A136" s="484">
        <v>99</v>
      </c>
      <c r="B136" s="365" t="s">
        <v>42</v>
      </c>
      <c r="C136" s="365" t="s">
        <v>99</v>
      </c>
      <c r="D136" s="315">
        <f t="shared" si="2"/>
        <v>2021</v>
      </c>
      <c r="E136" s="320">
        <f>'ריכוז תברים'!F19</f>
        <v>0</v>
      </c>
      <c r="F136" s="332"/>
      <c r="G136" s="333"/>
      <c r="H136" s="444"/>
      <c r="I136" s="320"/>
      <c r="J136" s="337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5"/>
      <c r="L136" s="339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7"/>
      <c r="N136" s="281"/>
      <c r="P136" s="42" t="s">
        <v>88</v>
      </c>
    </row>
    <row r="137" spans="1:16">
      <c r="A137" s="484">
        <v>100</v>
      </c>
      <c r="B137" s="365" t="s">
        <v>42</v>
      </c>
      <c r="C137" s="365" t="s">
        <v>100</v>
      </c>
      <c r="D137" s="315">
        <f t="shared" si="2"/>
        <v>2021</v>
      </c>
      <c r="E137" s="320">
        <f>'ריכוז תברים'!F20</f>
        <v>0</v>
      </c>
      <c r="F137" s="332"/>
      <c r="G137" s="333"/>
      <c r="H137" s="444"/>
      <c r="I137" s="320"/>
      <c r="J137" s="337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5"/>
      <c r="L137" s="339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7"/>
      <c r="N137" s="281"/>
      <c r="P137" s="42" t="s">
        <v>88</v>
      </c>
    </row>
    <row r="138" spans="1:16">
      <c r="A138" s="484">
        <v>101</v>
      </c>
      <c r="B138" s="365" t="s">
        <v>42</v>
      </c>
      <c r="C138" s="365" t="s">
        <v>101</v>
      </c>
      <c r="D138" s="315">
        <f t="shared" si="2"/>
        <v>2021</v>
      </c>
      <c r="E138" s="320">
        <f>'ריכוז תברים'!F21</f>
        <v>279098</v>
      </c>
      <c r="F138" s="332"/>
      <c r="G138" s="333"/>
      <c r="H138" s="444"/>
      <c r="I138" s="320"/>
      <c r="J138" s="337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5"/>
      <c r="L138" s="339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7"/>
      <c r="N138" s="281"/>
      <c r="P138" s="42" t="s">
        <v>88</v>
      </c>
    </row>
    <row r="139" spans="1:16">
      <c r="A139" s="484">
        <v>102</v>
      </c>
      <c r="B139" s="365" t="s">
        <v>42</v>
      </c>
      <c r="C139" s="365" t="s">
        <v>102</v>
      </c>
      <c r="D139" s="315">
        <f t="shared" si="2"/>
        <v>2021</v>
      </c>
      <c r="E139" s="320">
        <f>'ריכוז תברים'!F22</f>
        <v>34760</v>
      </c>
      <c r="F139" s="332"/>
      <c r="G139" s="333"/>
      <c r="H139" s="444"/>
      <c r="I139" s="320"/>
      <c r="J139" s="337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5"/>
      <c r="L139" s="339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7"/>
      <c r="N139" s="281"/>
      <c r="P139" s="42" t="s">
        <v>88</v>
      </c>
    </row>
    <row r="140" spans="1:16">
      <c r="A140" s="484">
        <v>103</v>
      </c>
      <c r="B140" s="365" t="s">
        <v>42</v>
      </c>
      <c r="C140" s="365" t="s">
        <v>103</v>
      </c>
      <c r="D140" s="315">
        <f t="shared" si="2"/>
        <v>2021</v>
      </c>
      <c r="E140" s="320">
        <f>'ריכוז תברים'!F23</f>
        <v>850</v>
      </c>
      <c r="F140" s="332"/>
      <c r="G140" s="333"/>
      <c r="H140" s="444"/>
      <c r="I140" s="320"/>
      <c r="J140" s="337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5"/>
      <c r="L140" s="339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7"/>
      <c r="N140" s="281"/>
      <c r="P140" s="42" t="s">
        <v>88</v>
      </c>
    </row>
    <row r="141" spans="1:16">
      <c r="A141" s="484">
        <v>104</v>
      </c>
      <c r="B141" s="365" t="s">
        <v>42</v>
      </c>
      <c r="C141" s="365" t="s">
        <v>104</v>
      </c>
      <c r="D141" s="315">
        <f t="shared" si="2"/>
        <v>2021</v>
      </c>
      <c r="E141" s="320">
        <f>'ריכוז תברים'!F24</f>
        <v>29217</v>
      </c>
      <c r="F141" s="332"/>
      <c r="G141" s="333"/>
      <c r="H141" s="444"/>
      <c r="I141" s="320"/>
      <c r="J141" s="337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5"/>
      <c r="L141" s="339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7"/>
      <c r="N141" s="281"/>
      <c r="P141" s="42" t="s">
        <v>88</v>
      </c>
    </row>
    <row r="142" spans="1:16">
      <c r="A142" s="484">
        <v>105</v>
      </c>
      <c r="B142" s="365" t="s">
        <v>42</v>
      </c>
      <c r="C142" s="365" t="s">
        <v>105</v>
      </c>
      <c r="D142" s="315">
        <f t="shared" si="2"/>
        <v>2021</v>
      </c>
      <c r="E142" s="320">
        <f>'ריכוז תברים'!F25</f>
        <v>8890</v>
      </c>
      <c r="F142" s="332"/>
      <c r="G142" s="333"/>
      <c r="H142" s="444"/>
      <c r="I142" s="320"/>
      <c r="J142" s="337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5"/>
      <c r="L142" s="339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7"/>
      <c r="N142" s="281"/>
      <c r="P142" s="42" t="s">
        <v>88</v>
      </c>
    </row>
    <row r="143" spans="1:16">
      <c r="A143" s="484">
        <v>106</v>
      </c>
      <c r="B143" s="365" t="s">
        <v>42</v>
      </c>
      <c r="C143" s="365" t="s">
        <v>106</v>
      </c>
      <c r="D143" s="315">
        <f t="shared" si="2"/>
        <v>2021</v>
      </c>
      <c r="E143" s="320">
        <f>'ריכוז תברים'!F26</f>
        <v>0</v>
      </c>
      <c r="F143" s="332"/>
      <c r="G143" s="333"/>
      <c r="H143" s="444"/>
      <c r="I143" s="320"/>
      <c r="J143" s="337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5"/>
      <c r="L143" s="339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7"/>
      <c r="N143" s="281"/>
      <c r="P143" s="42" t="s">
        <v>88</v>
      </c>
    </row>
    <row r="144" spans="1:16">
      <c r="A144" s="484">
        <v>107</v>
      </c>
      <c r="B144" s="365" t="s">
        <v>42</v>
      </c>
      <c r="C144" s="365" t="s">
        <v>107</v>
      </c>
      <c r="D144" s="315">
        <f t="shared" si="2"/>
        <v>2021</v>
      </c>
      <c r="E144" s="320">
        <f>'ריכוז תברים'!F27</f>
        <v>2598</v>
      </c>
      <c r="F144" s="332"/>
      <c r="G144" s="333"/>
      <c r="H144" s="444"/>
      <c r="I144" s="320"/>
      <c r="J144" s="337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5"/>
      <c r="L144" s="339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7"/>
      <c r="N144" s="281"/>
      <c r="P144" s="42" t="s">
        <v>88</v>
      </c>
    </row>
    <row r="145" spans="1:16">
      <c r="A145" s="484">
        <v>108</v>
      </c>
      <c r="B145" s="365" t="s">
        <v>42</v>
      </c>
      <c r="C145" s="365" t="s">
        <v>108</v>
      </c>
      <c r="D145" s="315">
        <f t="shared" si="2"/>
        <v>2021</v>
      </c>
      <c r="E145" s="320">
        <f>'ריכוז תברים'!F28</f>
        <v>0</v>
      </c>
      <c r="F145" s="332"/>
      <c r="G145" s="333"/>
      <c r="H145" s="444"/>
      <c r="I145" s="320"/>
      <c r="J145" s="337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5"/>
      <c r="L145" s="339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7"/>
      <c r="N145" s="281"/>
      <c r="P145" s="42" t="s">
        <v>88</v>
      </c>
    </row>
    <row r="146" spans="1:16">
      <c r="A146" s="484">
        <v>109</v>
      </c>
      <c r="B146" s="365" t="s">
        <v>42</v>
      </c>
      <c r="C146" s="365" t="s">
        <v>109</v>
      </c>
      <c r="D146" s="315">
        <f t="shared" si="2"/>
        <v>2021</v>
      </c>
      <c r="E146" s="320">
        <f>'ריכוז תברים'!F29</f>
        <v>0</v>
      </c>
      <c r="F146" s="332"/>
      <c r="G146" s="333"/>
      <c r="H146" s="444"/>
      <c r="I146" s="320"/>
      <c r="J146" s="337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5"/>
      <c r="L146" s="339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7"/>
      <c r="N146" s="281"/>
      <c r="P146" s="42" t="s">
        <v>88</v>
      </c>
    </row>
    <row r="147" spans="1:16">
      <c r="A147" s="484">
        <v>110</v>
      </c>
      <c r="B147" s="365" t="s">
        <v>42</v>
      </c>
      <c r="C147" s="365" t="s">
        <v>110</v>
      </c>
      <c r="D147" s="315">
        <f t="shared" si="2"/>
        <v>2021</v>
      </c>
      <c r="E147" s="320">
        <f>'ריכוז תברים'!F30</f>
        <v>105044</v>
      </c>
      <c r="F147" s="332"/>
      <c r="G147" s="333"/>
      <c r="H147" s="444"/>
      <c r="I147" s="320"/>
      <c r="J147" s="337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5"/>
      <c r="L147" s="339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7"/>
      <c r="N147" s="281"/>
      <c r="P147" s="42" t="s">
        <v>88</v>
      </c>
    </row>
    <row r="148" spans="1:16">
      <c r="A148" s="484">
        <v>111</v>
      </c>
      <c r="B148" s="365" t="s">
        <v>42</v>
      </c>
      <c r="C148" s="365" t="s">
        <v>111</v>
      </c>
      <c r="D148" s="315">
        <f t="shared" si="2"/>
        <v>2021</v>
      </c>
      <c r="E148" s="320">
        <f>'ריכוז תברים'!F31</f>
        <v>0</v>
      </c>
      <c r="F148" s="332"/>
      <c r="G148" s="333"/>
      <c r="H148" s="444"/>
      <c r="I148" s="320"/>
      <c r="J148" s="337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5"/>
      <c r="L148" s="339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7"/>
      <c r="N148" s="281"/>
      <c r="P148" s="42" t="s">
        <v>88</v>
      </c>
    </row>
    <row r="149" spans="1:16">
      <c r="A149" s="484">
        <v>112</v>
      </c>
      <c r="B149" s="365" t="s">
        <v>42</v>
      </c>
      <c r="C149" s="365" t="s">
        <v>112</v>
      </c>
      <c r="D149" s="315">
        <f t="shared" si="2"/>
        <v>2021</v>
      </c>
      <c r="E149" s="320">
        <f>'ריכוז תברים'!F32</f>
        <v>0</v>
      </c>
      <c r="F149" s="332"/>
      <c r="G149" s="333"/>
      <c r="H149" s="444"/>
      <c r="I149" s="320"/>
      <c r="J149" s="337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5"/>
      <c r="L149" s="339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7"/>
      <c r="N149" s="281"/>
      <c r="P149" s="42" t="s">
        <v>88</v>
      </c>
    </row>
    <row r="150" spans="1:16">
      <c r="A150" s="484">
        <v>113</v>
      </c>
      <c r="B150" s="365" t="s">
        <v>42</v>
      </c>
      <c r="C150" s="365" t="s">
        <v>113</v>
      </c>
      <c r="D150" s="315">
        <f t="shared" si="2"/>
        <v>2021</v>
      </c>
      <c r="E150" s="320">
        <f>'ריכוז תברים'!F33</f>
        <v>0</v>
      </c>
      <c r="F150" s="332"/>
      <c r="G150" s="333"/>
      <c r="H150" s="444"/>
      <c r="I150" s="320"/>
      <c r="J150" s="337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5"/>
      <c r="L150" s="339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7"/>
      <c r="N150" s="281"/>
      <c r="P150" s="42" t="s">
        <v>88</v>
      </c>
    </row>
    <row r="151" spans="1:16">
      <c r="A151" s="484">
        <v>114</v>
      </c>
      <c r="B151" s="365" t="s">
        <v>42</v>
      </c>
      <c r="C151" s="365" t="s">
        <v>114</v>
      </c>
      <c r="D151" s="315">
        <f t="shared" si="2"/>
        <v>2021</v>
      </c>
      <c r="E151" s="320">
        <f>'ריכוז תברים'!F34</f>
        <v>0</v>
      </c>
      <c r="F151" s="332"/>
      <c r="G151" s="333"/>
      <c r="H151" s="444"/>
      <c r="I151" s="320"/>
      <c r="J151" s="337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5"/>
      <c r="L151" s="339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7"/>
      <c r="N151" s="281"/>
      <c r="P151" s="42" t="s">
        <v>88</v>
      </c>
    </row>
    <row r="152" spans="1:16">
      <c r="A152" s="484">
        <v>115</v>
      </c>
      <c r="B152" s="365" t="s">
        <v>42</v>
      </c>
      <c r="C152" s="365" t="s">
        <v>115</v>
      </c>
      <c r="D152" s="315">
        <f t="shared" si="2"/>
        <v>2021</v>
      </c>
      <c r="E152" s="320">
        <f>'ריכוז תברים'!F35</f>
        <v>0</v>
      </c>
      <c r="F152" s="332"/>
      <c r="G152" s="333"/>
      <c r="H152" s="444"/>
      <c r="I152" s="320"/>
      <c r="J152" s="337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5"/>
      <c r="L152" s="339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7"/>
      <c r="N152" s="281"/>
      <c r="P152" s="42" t="s">
        <v>88</v>
      </c>
    </row>
    <row r="153" spans="1:16">
      <c r="A153" s="484">
        <v>116</v>
      </c>
      <c r="B153" s="365" t="s">
        <v>42</v>
      </c>
      <c r="C153" s="365" t="s">
        <v>116</v>
      </c>
      <c r="D153" s="315">
        <f t="shared" si="2"/>
        <v>2021</v>
      </c>
      <c r="E153" s="320">
        <f>'ריכוז תברים'!F36</f>
        <v>2332</v>
      </c>
      <c r="F153" s="332"/>
      <c r="G153" s="333"/>
      <c r="H153" s="444"/>
      <c r="I153" s="320"/>
      <c r="J153" s="337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5"/>
      <c r="L153" s="339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7"/>
      <c r="N153" s="281"/>
      <c r="P153" s="42" t="s">
        <v>88</v>
      </c>
    </row>
    <row r="154" spans="1:16" ht="15.75">
      <c r="A154" s="287"/>
      <c r="B154" s="619" t="s">
        <v>117</v>
      </c>
      <c r="C154" s="619"/>
      <c r="D154" s="619"/>
      <c r="E154" s="619"/>
      <c r="F154" s="619"/>
      <c r="G154" s="619"/>
      <c r="H154" s="619"/>
      <c r="I154" s="619"/>
      <c r="J154" s="367"/>
      <c r="K154" s="551"/>
      <c r="L154" s="361"/>
      <c r="M154" s="361"/>
      <c r="N154" s="281"/>
    </row>
    <row r="155" spans="1:16" ht="25.5" customHeight="1">
      <c r="A155" s="486">
        <v>117</v>
      </c>
      <c r="B155" s="368" t="s">
        <v>118</v>
      </c>
      <c r="C155" s="368" t="s">
        <v>119</v>
      </c>
      <c r="D155" s="315">
        <f>$G$3</f>
        <v>2020</v>
      </c>
      <c r="E155" s="346">
        <f>'גבייה וחייבים'!G30</f>
        <v>216602</v>
      </c>
      <c r="F155" s="299" t="s">
        <v>118</v>
      </c>
      <c r="G155" s="347" t="s">
        <v>120</v>
      </c>
      <c r="H155" s="450">
        <f>$F$3</f>
        <v>2021</v>
      </c>
      <c r="I155" s="346">
        <f>'גבייה וחייבים'!C9</f>
        <v>216602</v>
      </c>
      <c r="J155" s="363" t="str">
        <f>IF($E155=$I155,$B$3,"")</f>
        <v>תקין</v>
      </c>
      <c r="K155" s="536" t="str">
        <f>IF($E155=$I155,"",E155-I155)</f>
        <v/>
      </c>
      <c r="L155" s="364" t="str">
        <f>IF($E155=$I155,"",P155)</f>
        <v/>
      </c>
      <c r="M155" s="555"/>
      <c r="N155" s="281"/>
      <c r="P155" s="42" t="s">
        <v>121</v>
      </c>
    </row>
    <row r="156" spans="1:16" ht="38.25" customHeight="1">
      <c r="A156" s="487">
        <v>118</v>
      </c>
      <c r="B156" s="369" t="s">
        <v>118</v>
      </c>
      <c r="C156" s="369" t="s">
        <v>122</v>
      </c>
      <c r="D156" s="315">
        <f>$F$3</f>
        <v>2021</v>
      </c>
      <c r="E156" s="316">
        <f>'גבייה וחייבים'!C19</f>
        <v>110488</v>
      </c>
      <c r="F156" s="302" t="s">
        <v>123</v>
      </c>
      <c r="G156" s="314" t="s">
        <v>124</v>
      </c>
      <c r="H156" s="450">
        <f>$F$3</f>
        <v>2021</v>
      </c>
      <c r="I156" s="316">
        <f>(((ארנונה!O19+ארנונה!O22)/4)*'הגדרות כלליות'!D17)</f>
        <v>111593.10724999997</v>
      </c>
      <c r="J156" s="306" t="str">
        <f>IF($E156&gt;=$I156,$B$3,"")</f>
        <v/>
      </c>
      <c r="K156" s="536">
        <f>IF($E156&gt;=$I156,"",E156-I156)</f>
        <v>-1105.1072499999718</v>
      </c>
      <c r="L156" s="313" t="str">
        <f>IF($E156&gt;=$I156,"",P156)</f>
        <v>חיוב תקופתי שוטף ריאלי מצטבר קטן מסה"כ חיוב ארנונה ראשוני עד רבעון זה</v>
      </c>
      <c r="M156" s="556" t="s">
        <v>978</v>
      </c>
      <c r="N156" s="305"/>
      <c r="P156" s="42" t="s">
        <v>125</v>
      </c>
    </row>
    <row r="157" spans="1:16" ht="25.5">
      <c r="A157" s="487">
        <v>119</v>
      </c>
      <c r="B157" s="369" t="s">
        <v>118</v>
      </c>
      <c r="C157" s="369" t="s">
        <v>126</v>
      </c>
      <c r="D157" s="315">
        <f t="shared" ref="D157:D181" si="3">$G$3</f>
        <v>2020</v>
      </c>
      <c r="E157" s="316">
        <f>'גבייה וחייבים'!$C$9</f>
        <v>216602</v>
      </c>
      <c r="F157" s="302"/>
      <c r="G157" s="314"/>
      <c r="H157" s="450"/>
      <c r="I157" s="316"/>
      <c r="J157" s="306" t="str">
        <f t="shared" ref="J157:J180" si="4">IF(E157&lt;&gt;0,$B$3,"")</f>
        <v>תקין</v>
      </c>
      <c r="K157" s="536"/>
      <c r="L157" s="313" t="str">
        <f t="shared" ref="L157:L180" si="5">IF(E157&lt;&gt;0,"",P157)</f>
        <v/>
      </c>
      <c r="M157" s="556"/>
      <c r="N157" s="305"/>
      <c r="P157" s="42" t="s">
        <v>127</v>
      </c>
    </row>
    <row r="158" spans="1:16" ht="28.5" customHeight="1">
      <c r="A158" s="487">
        <v>120</v>
      </c>
      <c r="B158" s="369" t="s">
        <v>118</v>
      </c>
      <c r="C158" s="369" t="s">
        <v>128</v>
      </c>
      <c r="D158" s="315">
        <f t="shared" si="3"/>
        <v>2020</v>
      </c>
      <c r="E158" s="316">
        <f>'גבייה וחייבים'!$C$19</f>
        <v>110488</v>
      </c>
      <c r="F158" s="302"/>
      <c r="G158" s="314"/>
      <c r="H158" s="450"/>
      <c r="I158" s="316"/>
      <c r="J158" s="306" t="str">
        <f t="shared" si="4"/>
        <v>תקין</v>
      </c>
      <c r="K158" s="536"/>
      <c r="L158" s="313" t="str">
        <f t="shared" si="5"/>
        <v/>
      </c>
      <c r="M158" s="556"/>
      <c r="N158" s="281"/>
      <c r="P158" s="42" t="s">
        <v>129</v>
      </c>
    </row>
    <row r="159" spans="1:16" ht="39" customHeight="1">
      <c r="A159" s="487">
        <v>121</v>
      </c>
      <c r="B159" s="369" t="s">
        <v>118</v>
      </c>
      <c r="C159" s="369" t="s">
        <v>130</v>
      </c>
      <c r="D159" s="315">
        <f t="shared" si="3"/>
        <v>2020</v>
      </c>
      <c r="E159" s="316">
        <f>'גבייה וחייבים'!$C$25</f>
        <v>72423</v>
      </c>
      <c r="F159" s="302"/>
      <c r="G159" s="314"/>
      <c r="H159" s="450"/>
      <c r="I159" s="316"/>
      <c r="J159" s="306" t="str">
        <f t="shared" si="4"/>
        <v>תקין</v>
      </c>
      <c r="K159" s="536"/>
      <c r="L159" s="313" t="str">
        <f t="shared" si="5"/>
        <v/>
      </c>
      <c r="M159" s="556"/>
      <c r="N159" s="281"/>
      <c r="P159" s="42" t="s">
        <v>131</v>
      </c>
    </row>
    <row r="160" spans="1:16" ht="39" customHeight="1">
      <c r="A160" s="487">
        <v>122</v>
      </c>
      <c r="B160" s="369" t="s">
        <v>118</v>
      </c>
      <c r="C160" s="369" t="s">
        <v>785</v>
      </c>
      <c r="D160" s="315">
        <f t="shared" si="3"/>
        <v>2020</v>
      </c>
      <c r="E160" s="316">
        <f>'גבייה וחייבים'!$C$16</f>
        <v>12979</v>
      </c>
      <c r="F160" s="302"/>
      <c r="G160" s="314"/>
      <c r="H160" s="450"/>
      <c r="I160" s="316"/>
      <c r="J160" s="306" t="str">
        <f t="shared" si="4"/>
        <v>תקין</v>
      </c>
      <c r="K160" s="536"/>
      <c r="L160" s="313" t="str">
        <f t="shared" si="5"/>
        <v/>
      </c>
      <c r="M160" s="556"/>
      <c r="N160" s="281"/>
      <c r="P160" s="42" t="s">
        <v>132</v>
      </c>
    </row>
    <row r="161" spans="1:16" ht="39" customHeight="1">
      <c r="A161" s="487">
        <v>123</v>
      </c>
      <c r="B161" s="369" t="s">
        <v>118</v>
      </c>
      <c r="C161" s="369" t="s">
        <v>133</v>
      </c>
      <c r="D161" s="315">
        <f t="shared" si="3"/>
        <v>2020</v>
      </c>
      <c r="E161" s="316">
        <f>'גבייה וחייבים'!$C$10</f>
        <v>-2195</v>
      </c>
      <c r="F161" s="302"/>
      <c r="G161" s="314"/>
      <c r="H161" s="450"/>
      <c r="I161" s="316"/>
      <c r="J161" s="306" t="str">
        <f t="shared" si="4"/>
        <v>תקין</v>
      </c>
      <c r="K161" s="536"/>
      <c r="L161" s="313" t="str">
        <f t="shared" si="5"/>
        <v/>
      </c>
      <c r="M161" s="556"/>
      <c r="N161" s="281"/>
      <c r="P161" s="42" t="s">
        <v>134</v>
      </c>
    </row>
    <row r="162" spans="1:16" ht="39" customHeight="1">
      <c r="A162" s="487">
        <v>124</v>
      </c>
      <c r="B162" s="369" t="s">
        <v>118</v>
      </c>
      <c r="C162" s="369" t="s">
        <v>135</v>
      </c>
      <c r="D162" s="315">
        <f t="shared" si="3"/>
        <v>2020</v>
      </c>
      <c r="E162" s="316">
        <f>'גבייה וחייבים'!$C$12</f>
        <v>6391</v>
      </c>
      <c r="F162" s="302"/>
      <c r="G162" s="314"/>
      <c r="H162" s="450"/>
      <c r="I162" s="316"/>
      <c r="J162" s="306" t="str">
        <f t="shared" si="4"/>
        <v>תקין</v>
      </c>
      <c r="K162" s="536"/>
      <c r="L162" s="313" t="str">
        <f t="shared" si="5"/>
        <v/>
      </c>
      <c r="M162" s="556"/>
      <c r="N162" s="281"/>
      <c r="P162" s="42" t="s">
        <v>136</v>
      </c>
    </row>
    <row r="163" spans="1:16" ht="39" customHeight="1">
      <c r="A163" s="487">
        <v>125</v>
      </c>
      <c r="B163" s="369" t="s">
        <v>118</v>
      </c>
      <c r="C163" s="369" t="s">
        <v>137</v>
      </c>
      <c r="D163" s="315">
        <f t="shared" si="3"/>
        <v>2020</v>
      </c>
      <c r="E163" s="316">
        <f>'גבייה וחייבים'!$C$20</f>
        <v>26260</v>
      </c>
      <c r="F163" s="302"/>
      <c r="G163" s="314"/>
      <c r="H163" s="450"/>
      <c r="I163" s="316"/>
      <c r="J163" s="306" t="str">
        <f t="shared" si="4"/>
        <v>תקין</v>
      </c>
      <c r="K163" s="536"/>
      <c r="L163" s="313" t="str">
        <f t="shared" si="5"/>
        <v/>
      </c>
      <c r="M163" s="556"/>
      <c r="N163" s="281"/>
      <c r="P163" s="42" t="s">
        <v>138</v>
      </c>
    </row>
    <row r="164" spans="1:16" ht="39" customHeight="1">
      <c r="A164" s="487">
        <v>126</v>
      </c>
      <c r="B164" s="369" t="s">
        <v>118</v>
      </c>
      <c r="C164" s="369" t="s">
        <v>139</v>
      </c>
      <c r="D164" s="315">
        <f t="shared" si="3"/>
        <v>2020</v>
      </c>
      <c r="E164" s="316">
        <f>'גבייה וחייבים'!$C$21</f>
        <v>-30674</v>
      </c>
      <c r="F164" s="302"/>
      <c r="G164" s="314"/>
      <c r="H164" s="450"/>
      <c r="I164" s="316"/>
      <c r="J164" s="306" t="str">
        <f t="shared" si="4"/>
        <v>תקין</v>
      </c>
      <c r="K164" s="536"/>
      <c r="L164" s="313" t="str">
        <f t="shared" si="5"/>
        <v/>
      </c>
      <c r="M164" s="556"/>
      <c r="N164" s="281"/>
      <c r="P164" s="42" t="s">
        <v>140</v>
      </c>
    </row>
    <row r="165" spans="1:16">
      <c r="A165" s="487">
        <v>127</v>
      </c>
      <c r="B165" s="369" t="s">
        <v>118</v>
      </c>
      <c r="C165" s="369" t="s">
        <v>141</v>
      </c>
      <c r="D165" s="315">
        <f t="shared" si="3"/>
        <v>2020</v>
      </c>
      <c r="E165" s="316">
        <f>'גבייה וחייבים'!$E$9</f>
        <v>190513</v>
      </c>
      <c r="F165" s="302"/>
      <c r="G165" s="314"/>
      <c r="H165" s="450"/>
      <c r="I165" s="316"/>
      <c r="J165" s="306" t="str">
        <f t="shared" si="4"/>
        <v>תקין</v>
      </c>
      <c r="K165" s="536"/>
      <c r="L165" s="313" t="str">
        <f t="shared" si="5"/>
        <v/>
      </c>
      <c r="M165" s="556"/>
      <c r="N165" s="305"/>
      <c r="P165" s="42" t="s">
        <v>142</v>
      </c>
    </row>
    <row r="166" spans="1:16" ht="28.5" customHeight="1">
      <c r="A166" s="487">
        <v>128</v>
      </c>
      <c r="B166" s="369" t="s">
        <v>118</v>
      </c>
      <c r="C166" s="369" t="s">
        <v>128</v>
      </c>
      <c r="D166" s="315">
        <f t="shared" si="3"/>
        <v>2020</v>
      </c>
      <c r="E166" s="316">
        <f>'גבייה וחייבים'!$E$19</f>
        <v>107485</v>
      </c>
      <c r="F166" s="302"/>
      <c r="G166" s="314"/>
      <c r="H166" s="450"/>
      <c r="I166" s="316"/>
      <c r="J166" s="306" t="str">
        <f t="shared" si="4"/>
        <v>תקין</v>
      </c>
      <c r="K166" s="536"/>
      <c r="L166" s="313" t="str">
        <f t="shared" si="5"/>
        <v/>
      </c>
      <c r="M166" s="556"/>
      <c r="N166" s="281"/>
      <c r="P166" s="42" t="s">
        <v>143</v>
      </c>
    </row>
    <row r="167" spans="1:16" ht="39" customHeight="1">
      <c r="A167" s="487">
        <v>129</v>
      </c>
      <c r="B167" s="369" t="s">
        <v>118</v>
      </c>
      <c r="C167" s="369" t="s">
        <v>130</v>
      </c>
      <c r="D167" s="315">
        <f t="shared" si="3"/>
        <v>2020</v>
      </c>
      <c r="E167" s="316">
        <f>'גבייה וחייבים'!$E$25</f>
        <v>60580</v>
      </c>
      <c r="F167" s="302"/>
      <c r="G167" s="314"/>
      <c r="H167" s="450"/>
      <c r="I167" s="316"/>
      <c r="J167" s="306" t="str">
        <f t="shared" si="4"/>
        <v>תקין</v>
      </c>
      <c r="K167" s="536"/>
      <c r="L167" s="313" t="str">
        <f t="shared" si="5"/>
        <v/>
      </c>
      <c r="M167" s="556"/>
      <c r="N167" s="281"/>
      <c r="P167" s="42" t="s">
        <v>144</v>
      </c>
    </row>
    <row r="168" spans="1:16" ht="39" customHeight="1">
      <c r="A168" s="487">
        <v>130</v>
      </c>
      <c r="B168" s="369" t="s">
        <v>118</v>
      </c>
      <c r="C168" s="369" t="s">
        <v>785</v>
      </c>
      <c r="D168" s="315">
        <f t="shared" si="3"/>
        <v>2020</v>
      </c>
      <c r="E168" s="316">
        <f>'גבייה וחייבים'!$E$16</f>
        <v>11341</v>
      </c>
      <c r="F168" s="302"/>
      <c r="G168" s="314"/>
      <c r="H168" s="450"/>
      <c r="I168" s="316"/>
      <c r="J168" s="306" t="str">
        <f t="shared" si="4"/>
        <v>תקין</v>
      </c>
      <c r="K168" s="536"/>
      <c r="L168" s="313" t="str">
        <f t="shared" si="5"/>
        <v/>
      </c>
      <c r="M168" s="556"/>
      <c r="N168" s="281"/>
      <c r="P168" s="42" t="s">
        <v>145</v>
      </c>
    </row>
    <row r="169" spans="1:16" ht="39" customHeight="1">
      <c r="A169" s="487">
        <v>131</v>
      </c>
      <c r="B169" s="369" t="s">
        <v>118</v>
      </c>
      <c r="C169" s="369" t="s">
        <v>133</v>
      </c>
      <c r="D169" s="315">
        <f t="shared" si="3"/>
        <v>2020</v>
      </c>
      <c r="E169" s="316">
        <f>'גבייה וחייבים'!$E$10</f>
        <v>0</v>
      </c>
      <c r="F169" s="302"/>
      <c r="G169" s="314"/>
      <c r="H169" s="450"/>
      <c r="I169" s="316"/>
      <c r="J169" s="306" t="str">
        <f t="shared" si="4"/>
        <v/>
      </c>
      <c r="K169" s="536"/>
      <c r="L169" s="313" t="str">
        <f t="shared" si="5"/>
        <v>חסרים נתוני רבעון מקביל לחיוב / זיכוי נוסף ארנונה</v>
      </c>
      <c r="M169" s="556"/>
      <c r="N169" s="281"/>
      <c r="P169" s="42" t="s">
        <v>146</v>
      </c>
    </row>
    <row r="170" spans="1:16" ht="39" customHeight="1">
      <c r="A170" s="487">
        <v>132</v>
      </c>
      <c r="B170" s="369" t="s">
        <v>118</v>
      </c>
      <c r="C170" s="369" t="s">
        <v>135</v>
      </c>
      <c r="D170" s="315">
        <f t="shared" si="3"/>
        <v>2020</v>
      </c>
      <c r="E170" s="316">
        <f>'גבייה וחייבים'!$E$12</f>
        <v>5226</v>
      </c>
      <c r="F170" s="302"/>
      <c r="G170" s="314"/>
      <c r="H170" s="450"/>
      <c r="I170" s="316"/>
      <c r="J170" s="306" t="str">
        <f t="shared" si="4"/>
        <v>תקין</v>
      </c>
      <c r="K170" s="536"/>
      <c r="L170" s="313" t="str">
        <f t="shared" si="5"/>
        <v/>
      </c>
      <c r="M170" s="556"/>
      <c r="N170" s="281"/>
      <c r="P170" s="42" t="s">
        <v>147</v>
      </c>
    </row>
    <row r="171" spans="1:16" ht="39" customHeight="1">
      <c r="A171" s="487">
        <v>133</v>
      </c>
      <c r="B171" s="369" t="s">
        <v>118</v>
      </c>
      <c r="C171" s="369" t="s">
        <v>137</v>
      </c>
      <c r="D171" s="315">
        <f t="shared" si="3"/>
        <v>2020</v>
      </c>
      <c r="E171" s="316">
        <f>'גבייה וחייבים'!$E$20</f>
        <v>25730</v>
      </c>
      <c r="F171" s="302"/>
      <c r="G171" s="314"/>
      <c r="H171" s="450"/>
      <c r="I171" s="316"/>
      <c r="J171" s="306" t="str">
        <f t="shared" si="4"/>
        <v>תקין</v>
      </c>
      <c r="K171" s="536"/>
      <c r="L171" s="313" t="str">
        <f t="shared" si="5"/>
        <v/>
      </c>
      <c r="M171" s="556"/>
      <c r="N171" s="281"/>
      <c r="P171" s="42" t="s">
        <v>148</v>
      </c>
    </row>
    <row r="172" spans="1:16" ht="39" customHeight="1">
      <c r="A172" s="487">
        <v>134</v>
      </c>
      <c r="B172" s="369" t="s">
        <v>118</v>
      </c>
      <c r="C172" s="369" t="s">
        <v>139</v>
      </c>
      <c r="D172" s="315">
        <f t="shared" si="3"/>
        <v>2020</v>
      </c>
      <c r="E172" s="316">
        <f>'גבייה וחייבים'!$E$21</f>
        <v>-24054</v>
      </c>
      <c r="F172" s="302"/>
      <c r="G172" s="314"/>
      <c r="H172" s="450"/>
      <c r="I172" s="316"/>
      <c r="J172" s="306" t="str">
        <f t="shared" si="4"/>
        <v>תקין</v>
      </c>
      <c r="K172" s="536"/>
      <c r="L172" s="313" t="str">
        <f t="shared" si="5"/>
        <v/>
      </c>
      <c r="M172" s="556"/>
      <c r="N172" s="281"/>
      <c r="P172" s="42" t="s">
        <v>149</v>
      </c>
    </row>
    <row r="173" spans="1:16" ht="39" customHeight="1">
      <c r="A173" s="487">
        <v>135</v>
      </c>
      <c r="B173" s="369" t="s">
        <v>118</v>
      </c>
      <c r="C173" s="369" t="s">
        <v>141</v>
      </c>
      <c r="D173" s="315">
        <f t="shared" si="3"/>
        <v>2020</v>
      </c>
      <c r="E173" s="316">
        <f>'גבייה וחייבים'!G9</f>
        <v>190513</v>
      </c>
      <c r="F173" s="302"/>
      <c r="G173" s="314"/>
      <c r="H173" s="450"/>
      <c r="I173" s="316"/>
      <c r="J173" s="306" t="str">
        <f t="shared" si="4"/>
        <v>תקין</v>
      </c>
      <c r="K173" s="536"/>
      <c r="L173" s="313" t="str">
        <f t="shared" si="5"/>
        <v/>
      </c>
      <c r="M173" s="556"/>
      <c r="N173" s="281"/>
      <c r="P173" s="42" t="s">
        <v>150</v>
      </c>
    </row>
    <row r="174" spans="1:16" ht="39" customHeight="1">
      <c r="A174" s="487">
        <v>136</v>
      </c>
      <c r="B174" s="369" t="s">
        <v>118</v>
      </c>
      <c r="C174" s="369" t="s">
        <v>122</v>
      </c>
      <c r="D174" s="315">
        <f t="shared" si="3"/>
        <v>2020</v>
      </c>
      <c r="E174" s="316">
        <f>'גבייה וחייבים'!G19</f>
        <v>429938</v>
      </c>
      <c r="F174" s="302"/>
      <c r="G174" s="314"/>
      <c r="H174" s="450"/>
      <c r="I174" s="316"/>
      <c r="J174" s="306" t="str">
        <f t="shared" si="4"/>
        <v>תקין</v>
      </c>
      <c r="K174" s="536"/>
      <c r="L174" s="313" t="str">
        <f t="shared" si="5"/>
        <v/>
      </c>
      <c r="M174" s="556"/>
      <c r="N174" s="281"/>
      <c r="P174" s="42" t="s">
        <v>151</v>
      </c>
    </row>
    <row r="175" spans="1:16" ht="39" customHeight="1">
      <c r="A175" s="487">
        <v>137</v>
      </c>
      <c r="B175" s="369" t="s">
        <v>118</v>
      </c>
      <c r="C175" s="369" t="s">
        <v>152</v>
      </c>
      <c r="D175" s="315">
        <f t="shared" si="3"/>
        <v>2020</v>
      </c>
      <c r="E175" s="316">
        <f>'גבייה וחייבים'!G25</f>
        <v>275122</v>
      </c>
      <c r="F175" s="302"/>
      <c r="G175" s="314"/>
      <c r="H175" s="450"/>
      <c r="I175" s="316"/>
      <c r="J175" s="306" t="str">
        <f t="shared" si="4"/>
        <v>תקין</v>
      </c>
      <c r="K175" s="536"/>
      <c r="L175" s="313" t="str">
        <f t="shared" si="5"/>
        <v/>
      </c>
      <c r="M175" s="556"/>
      <c r="N175" s="281"/>
      <c r="P175" s="42" t="s">
        <v>153</v>
      </c>
    </row>
    <row r="176" spans="1:16" ht="39" customHeight="1">
      <c r="A176" s="487">
        <v>138</v>
      </c>
      <c r="B176" s="369" t="s">
        <v>118</v>
      </c>
      <c r="C176" s="369" t="s">
        <v>154</v>
      </c>
      <c r="D176" s="315">
        <f t="shared" si="3"/>
        <v>2020</v>
      </c>
      <c r="E176" s="316">
        <f>'גבייה וחייבים'!G16</f>
        <v>22412</v>
      </c>
      <c r="F176" s="302"/>
      <c r="G176" s="314"/>
      <c r="H176" s="450"/>
      <c r="I176" s="316"/>
      <c r="J176" s="306" t="str">
        <f t="shared" si="4"/>
        <v>תקין</v>
      </c>
      <c r="K176" s="536"/>
      <c r="L176" s="313" t="str">
        <f t="shared" si="5"/>
        <v/>
      </c>
      <c r="M176" s="556"/>
      <c r="N176" s="281"/>
      <c r="P176" s="42" t="s">
        <v>155</v>
      </c>
    </row>
    <row r="177" spans="1:16" ht="39" customHeight="1">
      <c r="A177" s="487">
        <v>139</v>
      </c>
      <c r="B177" s="369" t="s">
        <v>118</v>
      </c>
      <c r="C177" s="369" t="s">
        <v>133</v>
      </c>
      <c r="D177" s="315">
        <f t="shared" si="3"/>
        <v>2020</v>
      </c>
      <c r="E177" s="316">
        <f>'גבייה וחייבים'!$G$10</f>
        <v>43</v>
      </c>
      <c r="F177" s="302"/>
      <c r="G177" s="314"/>
      <c r="H177" s="450"/>
      <c r="I177" s="316"/>
      <c r="J177" s="306" t="str">
        <f t="shared" si="4"/>
        <v>תקין</v>
      </c>
      <c r="K177" s="536"/>
      <c r="L177" s="313" t="str">
        <f t="shared" si="5"/>
        <v/>
      </c>
      <c r="M177" s="556"/>
      <c r="N177" s="281"/>
      <c r="P177" s="42" t="s">
        <v>156</v>
      </c>
    </row>
    <row r="178" spans="1:16" ht="39" customHeight="1">
      <c r="A178" s="487">
        <v>140</v>
      </c>
      <c r="B178" s="369" t="s">
        <v>118</v>
      </c>
      <c r="C178" s="369" t="s">
        <v>135</v>
      </c>
      <c r="D178" s="315">
        <f t="shared" si="3"/>
        <v>2020</v>
      </c>
      <c r="E178" s="316">
        <f>'גבייה וחייבים'!$G$12</f>
        <v>33835</v>
      </c>
      <c r="F178" s="302"/>
      <c r="G178" s="314"/>
      <c r="H178" s="450"/>
      <c r="I178" s="316"/>
      <c r="J178" s="306" t="str">
        <f t="shared" si="4"/>
        <v>תקין</v>
      </c>
      <c r="K178" s="536"/>
      <c r="L178" s="313" t="str">
        <f t="shared" si="5"/>
        <v/>
      </c>
      <c r="M178" s="556"/>
      <c r="N178" s="281"/>
      <c r="P178" s="42" t="s">
        <v>157</v>
      </c>
    </row>
    <row r="179" spans="1:16" ht="39" customHeight="1">
      <c r="A179" s="487">
        <v>141</v>
      </c>
      <c r="B179" s="369" t="s">
        <v>118</v>
      </c>
      <c r="C179" s="369" t="s">
        <v>137</v>
      </c>
      <c r="D179" s="315">
        <f t="shared" si="3"/>
        <v>2020</v>
      </c>
      <c r="E179" s="316">
        <f>'גבייה וחייבים'!$G$20</f>
        <v>10302</v>
      </c>
      <c r="F179" s="302"/>
      <c r="G179" s="314"/>
      <c r="H179" s="450"/>
      <c r="I179" s="316"/>
      <c r="J179" s="306" t="str">
        <f t="shared" si="4"/>
        <v>תקין</v>
      </c>
      <c r="K179" s="536"/>
      <c r="L179" s="313" t="str">
        <f t="shared" si="5"/>
        <v/>
      </c>
      <c r="M179" s="556"/>
      <c r="N179" s="281"/>
      <c r="P179" s="42" t="s">
        <v>158</v>
      </c>
    </row>
    <row r="180" spans="1:16" ht="39" customHeight="1">
      <c r="A180" s="487">
        <v>142</v>
      </c>
      <c r="B180" s="369" t="s">
        <v>118</v>
      </c>
      <c r="C180" s="369" t="s">
        <v>139</v>
      </c>
      <c r="D180" s="315">
        <f t="shared" si="3"/>
        <v>2020</v>
      </c>
      <c r="E180" s="316">
        <f>'גבייה וחייבים'!$G$21</f>
        <v>-101825</v>
      </c>
      <c r="F180" s="302"/>
      <c r="G180" s="314"/>
      <c r="H180" s="450"/>
      <c r="I180" s="316"/>
      <c r="J180" s="306" t="str">
        <f t="shared" si="4"/>
        <v>תקין</v>
      </c>
      <c r="K180" s="536"/>
      <c r="L180" s="313" t="str">
        <f t="shared" si="5"/>
        <v/>
      </c>
      <c r="M180" s="556"/>
      <c r="N180" s="281"/>
      <c r="P180" s="42" t="s">
        <v>159</v>
      </c>
    </row>
    <row r="181" spans="1:16" ht="30.75" customHeight="1">
      <c r="A181" s="487">
        <v>143</v>
      </c>
      <c r="B181" s="369" t="s">
        <v>118</v>
      </c>
      <c r="C181" s="369" t="s">
        <v>160</v>
      </c>
      <c r="D181" s="315">
        <f t="shared" si="3"/>
        <v>2020</v>
      </c>
      <c r="E181" s="316">
        <f>'גבייה וחייבים'!M30</f>
        <v>200</v>
      </c>
      <c r="F181" s="302" t="s">
        <v>118</v>
      </c>
      <c r="G181" s="314" t="s">
        <v>161</v>
      </c>
      <c r="H181" s="450">
        <f>$F$3</f>
        <v>2021</v>
      </c>
      <c r="I181" s="316">
        <f>'גבייה וחייבים'!I9</f>
        <v>200</v>
      </c>
      <c r="J181" s="306" t="str">
        <f>IF($E181&lt;=$I181,$B$3,"")</f>
        <v>תקין</v>
      </c>
      <c r="K181" s="536" t="str">
        <f>IF($E181&lt;=$I181,"",E181-I181)</f>
        <v/>
      </c>
      <c r="L181" s="313" t="str">
        <f>IF($E181&lt;=$I181,"",P181)</f>
        <v/>
      </c>
      <c r="M181" s="556"/>
      <c r="N181" s="281"/>
      <c r="P181" s="42" t="s">
        <v>162</v>
      </c>
    </row>
    <row r="182" spans="1:16" ht="25.5">
      <c r="A182" s="487">
        <v>144</v>
      </c>
      <c r="B182" s="370" t="s">
        <v>118</v>
      </c>
      <c r="C182" s="370" t="s">
        <v>161</v>
      </c>
      <c r="D182" s="315">
        <f t="shared" ref="D182:D192" si="6">$F$3</f>
        <v>2021</v>
      </c>
      <c r="E182" s="320">
        <f>'גבייה וחייבים'!$I$9</f>
        <v>200</v>
      </c>
      <c r="F182" s="332"/>
      <c r="G182" s="333"/>
      <c r="H182" s="444"/>
      <c r="I182" s="320"/>
      <c r="J182" s="306" t="str">
        <f>IF(OR($E182&lt;&gt;0,'הגדרות כלליות'!$G$24='בדיקות הצלבה'!$L$3),$B$3,"")</f>
        <v>תקין</v>
      </c>
      <c r="K182" s="536"/>
      <c r="L182" s="313" t="str">
        <f>IF(OR($E182&lt;&gt;0,'הגדרות כלליות'!$G$24='בדיקות הצלבה'!$L$3),"",P182)</f>
        <v/>
      </c>
      <c r="M182" s="556"/>
      <c r="N182" s="281"/>
      <c r="P182" s="42" t="s">
        <v>163</v>
      </c>
    </row>
    <row r="183" spans="1:16">
      <c r="A183" s="487">
        <v>145</v>
      </c>
      <c r="B183" s="370" t="s">
        <v>118</v>
      </c>
      <c r="C183" s="370" t="s">
        <v>164</v>
      </c>
      <c r="D183" s="315">
        <f t="shared" si="6"/>
        <v>2021</v>
      </c>
      <c r="E183" s="320">
        <f>'גבייה וחייבים'!$I$10</f>
        <v>-413</v>
      </c>
      <c r="F183" s="332"/>
      <c r="G183" s="333"/>
      <c r="H183" s="444"/>
      <c r="I183" s="320"/>
      <c r="J183" s="306" t="str">
        <f>IF(OR($E183&lt;&gt;0,'הגדרות כלליות'!$G$24='בדיקות הצלבה'!$L$3),$B$3,"")</f>
        <v>תקין</v>
      </c>
      <c r="K183" s="536"/>
      <c r="L183" s="313" t="str">
        <f>IF(OR($E183&lt;&gt;0,'הגדרות כלליות'!$G$24='בדיקות הצלבה'!$L$3),"",P183)</f>
        <v/>
      </c>
      <c r="M183" s="556"/>
      <c r="N183" s="281"/>
      <c r="P183" s="42" t="s">
        <v>165</v>
      </c>
    </row>
    <row r="184" spans="1:16" ht="24" customHeight="1">
      <c r="A184" s="487">
        <v>146</v>
      </c>
      <c r="B184" s="370" t="s">
        <v>118</v>
      </c>
      <c r="C184" s="370" t="s">
        <v>166</v>
      </c>
      <c r="D184" s="315">
        <f t="shared" si="6"/>
        <v>2021</v>
      </c>
      <c r="E184" s="320">
        <f>'גבייה וחייבים'!$I$11</f>
        <v>185</v>
      </c>
      <c r="F184" s="332"/>
      <c r="G184" s="333"/>
      <c r="H184" s="444"/>
      <c r="I184" s="320"/>
      <c r="J184" s="306" t="str">
        <f>IF(OR($E184&lt;&gt;0,'הגדרות כלליות'!$G$24='בדיקות הצלבה'!$L$3),$B$3,"")</f>
        <v>תקין</v>
      </c>
      <c r="K184" s="536"/>
      <c r="L184" s="313" t="str">
        <f>IF(OR($E184&lt;&gt;0,'הגדרות כלליות'!$G$24='בדיקות הצלבה'!$L$3),"",P184)</f>
        <v/>
      </c>
      <c r="M184" s="556"/>
      <c r="N184" s="281"/>
      <c r="P184" s="42" t="s">
        <v>167</v>
      </c>
    </row>
    <row r="185" spans="1:16" ht="25.5">
      <c r="A185" s="487">
        <v>147</v>
      </c>
      <c r="B185" s="370" t="s">
        <v>118</v>
      </c>
      <c r="C185" s="370" t="s">
        <v>168</v>
      </c>
      <c r="D185" s="315">
        <f t="shared" si="6"/>
        <v>2021</v>
      </c>
      <c r="E185" s="320">
        <f>'גבייה וחייבים'!$I$12</f>
        <v>242</v>
      </c>
      <c r="F185" s="332"/>
      <c r="G185" s="333"/>
      <c r="H185" s="444"/>
      <c r="I185" s="320"/>
      <c r="J185" s="306" t="str">
        <f>IF(OR($E185&lt;&gt;0,'הגדרות כלליות'!$G$24='בדיקות הצלבה'!$L$3),$B$3,"")</f>
        <v>תקין</v>
      </c>
      <c r="K185" s="536"/>
      <c r="L185" s="313" t="str">
        <f>IF(OR($E185&lt;&gt;0,'הגדרות כלליות'!$G$24='בדיקות הצלבה'!$L$3),"",P185)</f>
        <v/>
      </c>
      <c r="M185" s="556"/>
      <c r="N185" s="281"/>
      <c r="P185" s="42" t="s">
        <v>169</v>
      </c>
    </row>
    <row r="186" spans="1:16" ht="27" customHeight="1">
      <c r="A186" s="487">
        <v>148</v>
      </c>
      <c r="B186" s="370" t="s">
        <v>118</v>
      </c>
      <c r="C186" s="370" t="s">
        <v>170</v>
      </c>
      <c r="D186" s="315">
        <f t="shared" si="6"/>
        <v>2021</v>
      </c>
      <c r="E186" s="320">
        <f>'גבייה וחייבים'!$I$13</f>
        <v>0</v>
      </c>
      <c r="F186" s="332"/>
      <c r="G186" s="333"/>
      <c r="H186" s="444"/>
      <c r="I186" s="320"/>
      <c r="J186" s="306" t="str">
        <f>IF(OR($E186&lt;&gt;0,'הגדרות כלליות'!$G$24='בדיקות הצלבה'!$L$3),$B$3,"")</f>
        <v>תקין</v>
      </c>
      <c r="K186" s="536"/>
      <c r="L186" s="313" t="str">
        <f>IF(OR($E186&lt;&gt;0,'הגדרות כלליות'!$G$24='בדיקות הצלבה'!$L$3),"",P186)</f>
        <v/>
      </c>
      <c r="M186" s="556"/>
      <c r="N186" s="281"/>
      <c r="P186" s="42" t="s">
        <v>171</v>
      </c>
    </row>
    <row r="187" spans="1:16">
      <c r="A187" s="487">
        <v>149</v>
      </c>
      <c r="B187" s="370" t="s">
        <v>118</v>
      </c>
      <c r="C187" s="370" t="s">
        <v>172</v>
      </c>
      <c r="D187" s="315">
        <f t="shared" si="6"/>
        <v>2021</v>
      </c>
      <c r="E187" s="320">
        <f>'גבייה וחייבים'!$I$16</f>
        <v>14</v>
      </c>
      <c r="F187" s="332"/>
      <c r="G187" s="333"/>
      <c r="H187" s="444"/>
      <c r="I187" s="320"/>
      <c r="J187" s="306" t="str">
        <f>IF(OR($E187&lt;&gt;0,'הגדרות כלליות'!$G$24='בדיקות הצלבה'!$L$3),$B$3,"")</f>
        <v>תקין</v>
      </c>
      <c r="K187" s="536"/>
      <c r="L187" s="313" t="str">
        <f>IF(OR($E187&lt;&gt;0,'הגדרות כלליות'!$G$24='בדיקות הצלבה'!$L$3),"",P187)</f>
        <v/>
      </c>
      <c r="M187" s="556"/>
      <c r="N187" s="281"/>
      <c r="P187" s="42" t="s">
        <v>173</v>
      </c>
    </row>
    <row r="188" spans="1:16">
      <c r="A188" s="487">
        <v>150</v>
      </c>
      <c r="B188" s="370" t="s">
        <v>118</v>
      </c>
      <c r="C188" s="370" t="s">
        <v>174</v>
      </c>
      <c r="D188" s="315">
        <f t="shared" si="6"/>
        <v>2021</v>
      </c>
      <c r="E188" s="320">
        <f>'גבייה וחייבים'!$I$19</f>
        <v>0</v>
      </c>
      <c r="F188" s="332"/>
      <c r="G188" s="333"/>
      <c r="H188" s="444"/>
      <c r="I188" s="320"/>
      <c r="J188" s="306" t="str">
        <f>IF(OR($E188&lt;&gt;0,'הגדרות כלליות'!$G$24='בדיקות הצלבה'!$L$3),$B$3,"")</f>
        <v>תקין</v>
      </c>
      <c r="K188" s="536"/>
      <c r="L188" s="313" t="str">
        <f>IF(OR($E188&lt;&gt;0,'הגדרות כלליות'!$G$24='בדיקות הצלבה'!$L$3),"",P188)</f>
        <v/>
      </c>
      <c r="M188" s="556"/>
      <c r="N188" s="281"/>
      <c r="P188" s="42" t="s">
        <v>175</v>
      </c>
    </row>
    <row r="189" spans="1:16" ht="25.5">
      <c r="A189" s="487">
        <v>151</v>
      </c>
      <c r="B189" s="370" t="s">
        <v>118</v>
      </c>
      <c r="C189" s="370" t="s">
        <v>176</v>
      </c>
      <c r="D189" s="315">
        <f t="shared" si="6"/>
        <v>2021</v>
      </c>
      <c r="E189" s="320">
        <f>'גבייה וחייבים'!$I$20</f>
        <v>0</v>
      </c>
      <c r="F189" s="332"/>
      <c r="G189" s="333"/>
      <c r="H189" s="444"/>
      <c r="I189" s="320"/>
      <c r="J189" s="306" t="str">
        <f>IF(OR($E189&lt;&gt;0,'הגדרות כלליות'!$G$24='בדיקות הצלבה'!$L$3),$B$3,"")</f>
        <v>תקין</v>
      </c>
      <c r="K189" s="536"/>
      <c r="L189" s="313" t="str">
        <f>IF(OR($E189&lt;&gt;0,'הגדרות כלליות'!$G$24='בדיקות הצלבה'!$L$3),"",P189)</f>
        <v/>
      </c>
      <c r="M189" s="556"/>
      <c r="N189" s="281"/>
      <c r="P189" s="42" t="s">
        <v>177</v>
      </c>
    </row>
    <row r="190" spans="1:16" ht="25.5">
      <c r="A190" s="487">
        <v>152</v>
      </c>
      <c r="B190" s="370" t="s">
        <v>118</v>
      </c>
      <c r="C190" s="370" t="s">
        <v>178</v>
      </c>
      <c r="D190" s="315">
        <f t="shared" si="6"/>
        <v>2021</v>
      </c>
      <c r="E190" s="320">
        <f>'גבייה וחייבים'!$I$21</f>
        <v>0</v>
      </c>
      <c r="F190" s="332"/>
      <c r="G190" s="333"/>
      <c r="H190" s="444"/>
      <c r="I190" s="320"/>
      <c r="J190" s="306" t="str">
        <f>IF(OR($E190&lt;&gt;0,'הגדרות כלליות'!$G$24='בדיקות הצלבה'!$L$3),$B$3,"")</f>
        <v>תקין</v>
      </c>
      <c r="K190" s="536"/>
      <c r="L190" s="313" t="str">
        <f>IF(OR($E190&lt;&gt;0,'הגדרות כלליות'!$G$24='בדיקות הצלבה'!$L$3),"",P190)</f>
        <v/>
      </c>
      <c r="M190" s="556"/>
      <c r="N190" s="281"/>
      <c r="P190" s="42" t="s">
        <v>179</v>
      </c>
    </row>
    <row r="191" spans="1:16">
      <c r="A191" s="487">
        <v>153</v>
      </c>
      <c r="B191" s="370" t="s">
        <v>118</v>
      </c>
      <c r="C191" s="370" t="s">
        <v>180</v>
      </c>
      <c r="D191" s="315">
        <f t="shared" si="6"/>
        <v>2021</v>
      </c>
      <c r="E191" s="320">
        <f>'גבייה וחייבים'!$I$24</f>
        <v>0</v>
      </c>
      <c r="F191" s="332"/>
      <c r="G191" s="333"/>
      <c r="H191" s="444"/>
      <c r="I191" s="320"/>
      <c r="J191" s="306" t="str">
        <f>IF(OR($E191&lt;&gt;0,'הגדרות כלליות'!$G$24='בדיקות הצלבה'!$L$3),$B$3,"")</f>
        <v>תקין</v>
      </c>
      <c r="K191" s="536"/>
      <c r="L191" s="313" t="str">
        <f>IF(OR($E191&lt;&gt;0,'הגדרות כלליות'!$G$24='בדיקות הצלבה'!$L$3),"",P191)</f>
        <v/>
      </c>
      <c r="M191" s="556"/>
      <c r="N191" s="281"/>
      <c r="P191" s="42" t="s">
        <v>190</v>
      </c>
    </row>
    <row r="192" spans="1:16">
      <c r="A192" s="487">
        <v>154</v>
      </c>
      <c r="B192" s="370" t="s">
        <v>118</v>
      </c>
      <c r="C192" s="370" t="s">
        <v>191</v>
      </c>
      <c r="D192" s="315">
        <f t="shared" si="6"/>
        <v>2021</v>
      </c>
      <c r="E192" s="320">
        <f>'גבייה וחייבים'!$I$25</f>
        <v>0</v>
      </c>
      <c r="F192" s="332"/>
      <c r="G192" s="333"/>
      <c r="H192" s="444"/>
      <c r="I192" s="320"/>
      <c r="J192" s="306" t="str">
        <f>IF(OR($E192&lt;&gt;0,'הגדרות כלליות'!$G$24='בדיקות הצלבה'!$L$3),$B$3,"")</f>
        <v>תקין</v>
      </c>
      <c r="K192" s="536"/>
      <c r="L192" s="313" t="str">
        <f>IF(OR($E192&lt;&gt;0,'הגדרות כלליות'!$G$24='בדיקות הצלבה'!$L$3),"",P192)</f>
        <v/>
      </c>
      <c r="M192" s="556"/>
      <c r="N192" s="281"/>
      <c r="P192" s="42" t="s">
        <v>192</v>
      </c>
    </row>
    <row r="193" spans="1:16">
      <c r="A193" s="487"/>
      <c r="B193" s="370"/>
      <c r="C193" s="370"/>
      <c r="D193" s="315"/>
      <c r="E193" s="320"/>
      <c r="F193" s="332"/>
      <c r="G193" s="333"/>
      <c r="H193" s="444"/>
      <c r="I193" s="320"/>
      <c r="J193" s="306"/>
      <c r="K193" s="536"/>
      <c r="L193" s="313"/>
      <c r="M193" s="556"/>
      <c r="N193" s="281"/>
    </row>
    <row r="194" spans="1:16" ht="25.5">
      <c r="A194" s="487">
        <v>155</v>
      </c>
      <c r="B194" s="370" t="s">
        <v>118</v>
      </c>
      <c r="C194" s="370" t="s">
        <v>161</v>
      </c>
      <c r="D194" s="315">
        <f t="shared" ref="D194:D215" si="7">$G$3</f>
        <v>2020</v>
      </c>
      <c r="E194" s="320">
        <f>'גבייה וחייבים'!$K$9</f>
        <v>200</v>
      </c>
      <c r="F194" s="332"/>
      <c r="G194" s="333"/>
      <c r="H194" s="444"/>
      <c r="I194" s="320"/>
      <c r="J194" s="306" t="str">
        <f>IF(OR($E194&lt;&gt;0,'הגדרות כלליות'!$D$19=1,'הגדרות כלליות'!$D$17=3,'הגדרות כלליות'!$G$24='בדיקות הצלבה'!$L$3),$B$3,"")</f>
        <v>תקין</v>
      </c>
      <c r="K194" s="536"/>
      <c r="L194" s="313" t="str">
        <f>IF(OR($E194&lt;&gt;0,'הגדרות כלליות'!$D$19=1,'הגדרות כלליות'!$D$17=3,'הגדרות כלליות'!$G$24='בדיקות הצלבה'!$L$3),"",P194)</f>
        <v/>
      </c>
      <c r="M194" s="556"/>
      <c r="N194" s="281"/>
      <c r="P194" s="42" t="s">
        <v>193</v>
      </c>
    </row>
    <row r="195" spans="1:16">
      <c r="A195" s="487">
        <v>156</v>
      </c>
      <c r="B195" s="370" t="s">
        <v>118</v>
      </c>
      <c r="C195" s="370" t="s">
        <v>164</v>
      </c>
      <c r="D195" s="315">
        <f t="shared" si="7"/>
        <v>2020</v>
      </c>
      <c r="E195" s="320">
        <f>'גבייה וחייבים'!$K$10</f>
        <v>0</v>
      </c>
      <c r="F195" s="332"/>
      <c r="G195" s="333"/>
      <c r="H195" s="444"/>
      <c r="I195" s="320"/>
      <c r="J195" s="306" t="str">
        <f>IF(OR($E195&lt;&gt;0,'הגדרות כלליות'!$D$19=1,'הגדרות כלליות'!$D$17=3,'הגדרות כלליות'!$G$24='בדיקות הצלבה'!$L$3),$B$3,"")</f>
        <v>תקין</v>
      </c>
      <c r="K195" s="536"/>
      <c r="L195" s="313" t="str">
        <f>IF(OR($E195&lt;&gt;0,'הגדרות כלליות'!$D$19=1,'הגדרות כלליות'!$D$17=3,'הגדרות כלליות'!$G$24='בדיקות הצלבה'!$L$3),"",P195)</f>
        <v/>
      </c>
      <c r="M195" s="556"/>
      <c r="N195" s="281"/>
      <c r="P195" s="42" t="s">
        <v>194</v>
      </c>
    </row>
    <row r="196" spans="1:16" ht="24" customHeight="1">
      <c r="A196" s="487">
        <v>157</v>
      </c>
      <c r="B196" s="370" t="s">
        <v>118</v>
      </c>
      <c r="C196" s="370" t="s">
        <v>166</v>
      </c>
      <c r="D196" s="315">
        <f t="shared" si="7"/>
        <v>2020</v>
      </c>
      <c r="E196" s="320">
        <f>'גבייה וחייבים'!$K$11</f>
        <v>-391</v>
      </c>
      <c r="F196" s="332"/>
      <c r="G196" s="333"/>
      <c r="H196" s="444"/>
      <c r="I196" s="320"/>
      <c r="J196" s="306" t="str">
        <f>IF(OR($E196&lt;&gt;0,'הגדרות כלליות'!$D$19=1,'הגדרות כלליות'!$D$17=3,'הגדרות כלליות'!$G$24='בדיקות הצלבה'!$L$3),$B$3,"")</f>
        <v>תקין</v>
      </c>
      <c r="K196" s="536"/>
      <c r="L196" s="313" t="str">
        <f>IF(OR($E196&lt;&gt;0,'הגדרות כלליות'!$D$19=1,'הגדרות כלליות'!$D$17=3,'הגדרות כלליות'!$G$24='בדיקות הצלבה'!$L$3),"",P196)</f>
        <v/>
      </c>
      <c r="M196" s="556"/>
      <c r="N196" s="281"/>
      <c r="P196" s="42" t="s">
        <v>195</v>
      </c>
    </row>
    <row r="197" spans="1:16" ht="25.5">
      <c r="A197" s="487">
        <v>158</v>
      </c>
      <c r="B197" s="370" t="s">
        <v>118</v>
      </c>
      <c r="C197" s="370" t="s">
        <v>168</v>
      </c>
      <c r="D197" s="315">
        <f t="shared" si="7"/>
        <v>2020</v>
      </c>
      <c r="E197" s="320">
        <f>'גבייה וחייבים'!$K$12</f>
        <v>494</v>
      </c>
      <c r="F197" s="332"/>
      <c r="G197" s="333"/>
      <c r="H197" s="444"/>
      <c r="I197" s="320"/>
      <c r="J197" s="306" t="str">
        <f>IF(OR($E197&lt;&gt;0,'הגדרות כלליות'!$D$19=1,'הגדרות כלליות'!$D$17=3,'הגדרות כלליות'!$G$24='בדיקות הצלבה'!$L$3),$B$3,"")</f>
        <v>תקין</v>
      </c>
      <c r="K197" s="536"/>
      <c r="L197" s="313" t="str">
        <f>IF(OR($E197&lt;&gt;0,'הגדרות כלליות'!$D$19=1,'הגדרות כלליות'!$D$17=3,'הגדרות כלליות'!$G$24='בדיקות הצלבה'!$L$3),"",P197)</f>
        <v/>
      </c>
      <c r="M197" s="556"/>
      <c r="N197" s="281"/>
      <c r="P197" s="42" t="s">
        <v>196</v>
      </c>
    </row>
    <row r="198" spans="1:16" ht="27" customHeight="1">
      <c r="A198" s="487">
        <v>159</v>
      </c>
      <c r="B198" s="370" t="s">
        <v>118</v>
      </c>
      <c r="C198" s="370" t="s">
        <v>170</v>
      </c>
      <c r="D198" s="315">
        <f t="shared" si="7"/>
        <v>2020</v>
      </c>
      <c r="E198" s="320">
        <f>'גבייה וחייבים'!$K$13</f>
        <v>0</v>
      </c>
      <c r="F198" s="332"/>
      <c r="G198" s="333"/>
      <c r="H198" s="444"/>
      <c r="I198" s="320"/>
      <c r="J198" s="306" t="str">
        <f>IF(OR($E198&lt;&gt;0,'הגדרות כלליות'!$D$19=1,'הגדרות כלליות'!$D$17=3,'הגדרות כלליות'!$G$24='בדיקות הצלבה'!$L$3),$B$3,"")</f>
        <v>תקין</v>
      </c>
      <c r="K198" s="536"/>
      <c r="L198" s="313" t="str">
        <f>IF(OR($E198&lt;&gt;0,'הגדרות כלליות'!$D$19=1,'הגדרות כלליות'!$D$17=3,'הגדרות כלליות'!$G$24='בדיקות הצלבה'!$L$3),"",P198)</f>
        <v/>
      </c>
      <c r="M198" s="556"/>
      <c r="N198" s="281"/>
      <c r="P198" s="42" t="s">
        <v>197</v>
      </c>
    </row>
    <row r="199" spans="1:16">
      <c r="A199" s="487">
        <v>160</v>
      </c>
      <c r="B199" s="370" t="s">
        <v>118</v>
      </c>
      <c r="C199" s="370" t="s">
        <v>172</v>
      </c>
      <c r="D199" s="315">
        <f t="shared" si="7"/>
        <v>2020</v>
      </c>
      <c r="E199" s="320">
        <f>'גבייה וחייבים'!$K$16</f>
        <v>103</v>
      </c>
      <c r="F199" s="332"/>
      <c r="G199" s="333"/>
      <c r="H199" s="444"/>
      <c r="I199" s="320"/>
      <c r="J199" s="306" t="str">
        <f>IF(OR($E199&lt;&gt;0,'הגדרות כלליות'!$D$19=1,'הגדרות כלליות'!$D$17=3,'הגדרות כלליות'!$G$24='בדיקות הצלבה'!$L$3),$B$3,"")</f>
        <v>תקין</v>
      </c>
      <c r="K199" s="536"/>
      <c r="L199" s="313" t="str">
        <f>IF(OR($E199&lt;&gt;0,'הגדרות כלליות'!$D$19=1,'הגדרות כלליות'!$D$17=3,'הגדרות כלליות'!$G$24='בדיקות הצלבה'!$L$3),"",P199)</f>
        <v/>
      </c>
      <c r="M199" s="556"/>
      <c r="N199" s="281"/>
      <c r="P199" s="42" t="s">
        <v>198</v>
      </c>
    </row>
    <row r="200" spans="1:16">
      <c r="A200" s="487">
        <v>161</v>
      </c>
      <c r="B200" s="370" t="s">
        <v>118</v>
      </c>
      <c r="C200" s="370" t="s">
        <v>174</v>
      </c>
      <c r="D200" s="315">
        <f t="shared" si="7"/>
        <v>2020</v>
      </c>
      <c r="E200" s="320">
        <f>'גבייה וחייבים'!$K$19</f>
        <v>0</v>
      </c>
      <c r="F200" s="332"/>
      <c r="G200" s="333"/>
      <c r="H200" s="444"/>
      <c r="I200" s="320"/>
      <c r="J200" s="306" t="str">
        <f>IF(OR($E200&lt;&gt;0,'הגדרות כלליות'!$D$19=1,'הגדרות כלליות'!$D$17=3,'הגדרות כלליות'!$G$24='בדיקות הצלבה'!$L$3),$B$3,"")</f>
        <v>תקין</v>
      </c>
      <c r="K200" s="536"/>
      <c r="L200" s="313" t="str">
        <f>IF(OR($E200&lt;&gt;0,'הגדרות כלליות'!$D$19=1,'הגדרות כלליות'!$D$17=3,'הגדרות כלליות'!$G$24='בדיקות הצלבה'!$L$3),"",P200)</f>
        <v/>
      </c>
      <c r="M200" s="556"/>
      <c r="N200" s="281"/>
      <c r="P200" s="42" t="s">
        <v>199</v>
      </c>
    </row>
    <row r="201" spans="1:16" ht="25.5">
      <c r="A201" s="487">
        <v>162</v>
      </c>
      <c r="B201" s="370" t="s">
        <v>118</v>
      </c>
      <c r="C201" s="370" t="s">
        <v>176</v>
      </c>
      <c r="D201" s="315">
        <f t="shared" si="7"/>
        <v>2020</v>
      </c>
      <c r="E201" s="320">
        <f>'גבייה וחייבים'!$K$20</f>
        <v>0</v>
      </c>
      <c r="F201" s="332"/>
      <c r="G201" s="333"/>
      <c r="H201" s="444"/>
      <c r="I201" s="320"/>
      <c r="J201" s="306" t="str">
        <f>IF(OR($E201&lt;&gt;0,'הגדרות כלליות'!$D$19=1,'הגדרות כלליות'!$D$17=3,'הגדרות כלליות'!$G$24='בדיקות הצלבה'!$L$3),$B$3,"")</f>
        <v>תקין</v>
      </c>
      <c r="K201" s="536"/>
      <c r="L201" s="313" t="str">
        <f>IF(OR($E201&lt;&gt;0,'הגדרות כלליות'!$D$19=1,'הגדרות כלליות'!$D$17=3,'הגדרות כלליות'!$G$24='בדיקות הצלבה'!$L$3),"",P201)</f>
        <v/>
      </c>
      <c r="M201" s="556"/>
      <c r="N201" s="281"/>
      <c r="P201" s="42" t="s">
        <v>200</v>
      </c>
    </row>
    <row r="202" spans="1:16" ht="25.5">
      <c r="A202" s="487">
        <v>163</v>
      </c>
      <c r="B202" s="370" t="s">
        <v>118</v>
      </c>
      <c r="C202" s="370" t="s">
        <v>178</v>
      </c>
      <c r="D202" s="315">
        <f t="shared" si="7"/>
        <v>2020</v>
      </c>
      <c r="E202" s="320">
        <f>'גבייה וחייבים'!$K$21</f>
        <v>0</v>
      </c>
      <c r="F202" s="332"/>
      <c r="G202" s="333"/>
      <c r="H202" s="444"/>
      <c r="I202" s="320"/>
      <c r="J202" s="306" t="str">
        <f>IF(OR($E202&lt;&gt;0,'הגדרות כלליות'!$D$19=1,'הגדרות כלליות'!$D$17=3,'הגדרות כלליות'!$G$24='בדיקות הצלבה'!$L$3),$B$3,"")</f>
        <v>תקין</v>
      </c>
      <c r="K202" s="536"/>
      <c r="L202" s="313" t="str">
        <f>IF(OR($E202&lt;&gt;0,'הגדרות כלליות'!$D$19=1,'הגדרות כלליות'!$D$17=3,'הגדרות כלליות'!$G$24='בדיקות הצלבה'!$L$3),"",P202)</f>
        <v/>
      </c>
      <c r="M202" s="556"/>
      <c r="N202" s="281"/>
      <c r="P202" s="42" t="s">
        <v>179</v>
      </c>
    </row>
    <row r="203" spans="1:16">
      <c r="A203" s="487">
        <v>164</v>
      </c>
      <c r="B203" s="370" t="s">
        <v>118</v>
      </c>
      <c r="C203" s="370" t="s">
        <v>180</v>
      </c>
      <c r="D203" s="315">
        <f t="shared" si="7"/>
        <v>2020</v>
      </c>
      <c r="E203" s="320">
        <f>'גבייה וחייבים'!$K$24</f>
        <v>0</v>
      </c>
      <c r="F203" s="332"/>
      <c r="G203" s="333"/>
      <c r="H203" s="444"/>
      <c r="I203" s="320"/>
      <c r="J203" s="306" t="str">
        <f>IF(OR($E203&lt;&gt;0,'הגדרות כלליות'!$D$19=1,'הגדרות כלליות'!$D$17=3,'הגדרות כלליות'!$G$24='בדיקות הצלבה'!$L$3),$B$3,"")</f>
        <v>תקין</v>
      </c>
      <c r="K203" s="536"/>
      <c r="L203" s="313" t="str">
        <f>IF(OR($E203&lt;&gt;0,'הגדרות כלליות'!$D$19=1,'הגדרות כלליות'!$D$17=3,'הגדרות כלליות'!$G$24='בדיקות הצלבה'!$L$3),"",P203)</f>
        <v/>
      </c>
      <c r="M203" s="556"/>
      <c r="N203" s="281"/>
      <c r="P203" s="42" t="s">
        <v>190</v>
      </c>
    </row>
    <row r="204" spans="1:16">
      <c r="A204" s="487">
        <v>165</v>
      </c>
      <c r="B204" s="370" t="s">
        <v>118</v>
      </c>
      <c r="C204" s="370" t="s">
        <v>191</v>
      </c>
      <c r="D204" s="315">
        <f t="shared" si="7"/>
        <v>2020</v>
      </c>
      <c r="E204" s="320">
        <f>'גבייה וחייבים'!$K$25</f>
        <v>0</v>
      </c>
      <c r="F204" s="332"/>
      <c r="G204" s="333"/>
      <c r="H204" s="444"/>
      <c r="I204" s="320"/>
      <c r="J204" s="306" t="str">
        <f>IF(OR($E204&lt;&gt;0,'הגדרות כלליות'!$D$19=1,'הגדרות כלליות'!$D$17=3,'הגדרות כלליות'!$G$24='בדיקות הצלבה'!$L$3),$B$3,"")</f>
        <v>תקין</v>
      </c>
      <c r="K204" s="536"/>
      <c r="L204" s="313" t="str">
        <f>IF(OR($E204&lt;&gt;0,'הגדרות כלליות'!$D$19=1,'הגדרות כלליות'!$D$17=3,'הגדרות כלליות'!$G$24='בדיקות הצלבה'!$L$3),"",P204)</f>
        <v/>
      </c>
      <c r="M204" s="556"/>
      <c r="N204" s="281"/>
      <c r="P204" s="42" t="s">
        <v>192</v>
      </c>
    </row>
    <row r="205" spans="1:16" ht="25.5">
      <c r="A205" s="487">
        <v>166</v>
      </c>
      <c r="B205" s="370" t="s">
        <v>118</v>
      </c>
      <c r="C205" s="370" t="s">
        <v>161</v>
      </c>
      <c r="D205" s="315">
        <f t="shared" si="7"/>
        <v>2020</v>
      </c>
      <c r="E205" s="320">
        <f>'גבייה וחייבים'!$M$9</f>
        <v>200</v>
      </c>
      <c r="F205" s="332"/>
      <c r="G205" s="333"/>
      <c r="H205" s="444"/>
      <c r="I205" s="320"/>
      <c r="J205" s="306" t="str">
        <f>IF(OR($E205&lt;&gt;0,'הגדרות כלליות'!$D$19=1,'הגדרות כלליות'!$D$17=3,'הגדרות כלליות'!$G$24='בדיקות הצלבה'!$L$3),$B$3,"")</f>
        <v>תקין</v>
      </c>
      <c r="K205" s="536"/>
      <c r="L205" s="313" t="str">
        <f>IF(OR($E205&lt;&gt;0,'הגדרות כלליות'!$D$19=1,'הגדרות כלליות'!$D$17=3,'הגדרות כלליות'!$G$24='בדיקות הצלבה'!$L$3),"",P205)</f>
        <v/>
      </c>
      <c r="M205" s="556"/>
      <c r="N205" s="281"/>
      <c r="P205" s="42" t="s">
        <v>193</v>
      </c>
    </row>
    <row r="206" spans="1:16">
      <c r="A206" s="487">
        <v>167</v>
      </c>
      <c r="B206" s="370" t="s">
        <v>118</v>
      </c>
      <c r="C206" s="370" t="s">
        <v>164</v>
      </c>
      <c r="D206" s="315">
        <f t="shared" si="7"/>
        <v>2020</v>
      </c>
      <c r="E206" s="320">
        <f>'גבייה וחייבים'!$M$10</f>
        <v>-9</v>
      </c>
      <c r="F206" s="332"/>
      <c r="G206" s="333"/>
      <c r="H206" s="444"/>
      <c r="I206" s="320"/>
      <c r="J206" s="306" t="str">
        <f>IF(OR($E206&lt;&gt;0,'הגדרות כלליות'!$D$19=1,'הגדרות כלליות'!$D$17=3,'הגדרות כלליות'!$G$24='בדיקות הצלבה'!$L$3),$B$3,"")</f>
        <v>תקין</v>
      </c>
      <c r="K206" s="536"/>
      <c r="L206" s="313" t="str">
        <f>IF(OR($E206&lt;&gt;0,'הגדרות כלליות'!$D$19=1,'הגדרות כלליות'!$D$17=3,'הגדרות כלליות'!$G$24='בדיקות הצלבה'!$L$3),"",P206)</f>
        <v/>
      </c>
      <c r="M206" s="556"/>
      <c r="N206" s="281"/>
      <c r="P206" s="42" t="s">
        <v>194</v>
      </c>
    </row>
    <row r="207" spans="1:16" ht="24" customHeight="1">
      <c r="A207" s="487">
        <v>168</v>
      </c>
      <c r="B207" s="370" t="s">
        <v>118</v>
      </c>
      <c r="C207" s="370" t="s">
        <v>166</v>
      </c>
      <c r="D207" s="315">
        <f t="shared" si="7"/>
        <v>2020</v>
      </c>
      <c r="E207" s="320">
        <f>'גבייה וחייבים'!$M$11</f>
        <v>-1625</v>
      </c>
      <c r="F207" s="332"/>
      <c r="G207" s="333"/>
      <c r="H207" s="444"/>
      <c r="I207" s="320"/>
      <c r="J207" s="306" t="str">
        <f>IF(OR($E207&lt;&gt;0,'הגדרות כלליות'!$D$19=1,'הגדרות כלליות'!$D$17=3,'הגדרות כלליות'!$G$24='בדיקות הצלבה'!$L$3),$B$3,"")</f>
        <v>תקין</v>
      </c>
      <c r="K207" s="536"/>
      <c r="L207" s="313" t="str">
        <f>IF(OR($E207&lt;&gt;0,'הגדרות כלליות'!$D$19=1,'הגדרות כלליות'!$D$17=3,'הגדרות כלליות'!$G$24='בדיקות הצלבה'!$L$3),"",P207)</f>
        <v/>
      </c>
      <c r="M207" s="556"/>
      <c r="N207" s="281"/>
      <c r="P207" s="42" t="s">
        <v>195</v>
      </c>
    </row>
    <row r="208" spans="1:16" ht="25.5">
      <c r="A208" s="487">
        <v>169</v>
      </c>
      <c r="B208" s="370" t="s">
        <v>118</v>
      </c>
      <c r="C208" s="370" t="s">
        <v>168</v>
      </c>
      <c r="D208" s="315">
        <f t="shared" si="7"/>
        <v>2020</v>
      </c>
      <c r="E208" s="320">
        <f>'גבייה וחייבים'!$M$12</f>
        <v>1877</v>
      </c>
      <c r="F208" s="332"/>
      <c r="G208" s="333"/>
      <c r="H208" s="444"/>
      <c r="I208" s="320"/>
      <c r="J208" s="306" t="str">
        <f>IF(OR($E208&lt;&gt;0,'הגדרות כלליות'!$D$19=1,'הגדרות כלליות'!$D$17=3,'הגדרות כלליות'!$G$24='בדיקות הצלבה'!$L$3),$B$3,"")</f>
        <v>תקין</v>
      </c>
      <c r="K208" s="536"/>
      <c r="L208" s="313" t="str">
        <f>IF(OR($E208&lt;&gt;0,'הגדרות כלליות'!$D$19=1,'הגדרות כלליות'!$D$17=3,'הגדרות כלליות'!$G$24='בדיקות הצלבה'!$L$3),"",P208)</f>
        <v/>
      </c>
      <c r="M208" s="556"/>
      <c r="N208" s="281"/>
      <c r="P208" s="42" t="s">
        <v>196</v>
      </c>
    </row>
    <row r="209" spans="1:16" ht="27" customHeight="1">
      <c r="A209" s="487">
        <v>170</v>
      </c>
      <c r="B209" s="370" t="s">
        <v>118</v>
      </c>
      <c r="C209" s="370" t="s">
        <v>170</v>
      </c>
      <c r="D209" s="315">
        <f t="shared" si="7"/>
        <v>2020</v>
      </c>
      <c r="E209" s="320">
        <f>'גבייה וחייבים'!$M$13</f>
        <v>0</v>
      </c>
      <c r="F209" s="332"/>
      <c r="G209" s="333"/>
      <c r="H209" s="444"/>
      <c r="I209" s="320"/>
      <c r="J209" s="306" t="str">
        <f>IF(OR($E209&lt;&gt;0,'הגדרות כלליות'!$D$19=1,'הגדרות כלליות'!$D$17=3,'הגדרות כלליות'!$G$24='בדיקות הצלבה'!$L$3),$B$3,"")</f>
        <v>תקין</v>
      </c>
      <c r="K209" s="536"/>
      <c r="L209" s="313" t="str">
        <f>IF(OR($E209&lt;&gt;0,'הגדרות כלליות'!$D$19=1,'הגדרות כלליות'!$D$17=3,'הגדרות כלליות'!$G$24='בדיקות הצלבה'!$L$3),"",P209)</f>
        <v/>
      </c>
      <c r="M209" s="556"/>
      <c r="N209" s="281"/>
      <c r="P209" s="42" t="s">
        <v>197</v>
      </c>
    </row>
    <row r="210" spans="1:16">
      <c r="A210" s="487">
        <v>171</v>
      </c>
      <c r="B210" s="370" t="s">
        <v>118</v>
      </c>
      <c r="C210" s="370" t="s">
        <v>172</v>
      </c>
      <c r="D210" s="315">
        <f t="shared" si="7"/>
        <v>2020</v>
      </c>
      <c r="E210" s="320">
        <f>'גבייה וחייבים'!$M$16</f>
        <v>243</v>
      </c>
      <c r="F210" s="332"/>
      <c r="G210" s="333"/>
      <c r="H210" s="444"/>
      <c r="I210" s="320"/>
      <c r="J210" s="306" t="str">
        <f>IF(OR($E210&lt;&gt;0,'הגדרות כלליות'!$D$19=1,'הגדרות כלליות'!$D$17=3,'הגדרות כלליות'!$G$24='בדיקות הצלבה'!$L$3),$B$3,"")</f>
        <v>תקין</v>
      </c>
      <c r="K210" s="536"/>
      <c r="L210" s="313" t="str">
        <f>IF(OR($E210&lt;&gt;0,'הגדרות כלליות'!$D$19=1,'הגדרות כלליות'!$D$17=3,'הגדרות כלליות'!$G$24='בדיקות הצלבה'!$L$3),"",P210)</f>
        <v/>
      </c>
      <c r="M210" s="556"/>
      <c r="N210" s="281"/>
      <c r="P210" s="42" t="s">
        <v>198</v>
      </c>
    </row>
    <row r="211" spans="1:16">
      <c r="A211" s="487">
        <v>172</v>
      </c>
      <c r="B211" s="370" t="s">
        <v>118</v>
      </c>
      <c r="C211" s="370" t="s">
        <v>174</v>
      </c>
      <c r="D211" s="315">
        <f t="shared" si="7"/>
        <v>2020</v>
      </c>
      <c r="E211" s="320">
        <f>'גבייה וחייבים'!$M$19</f>
        <v>0</v>
      </c>
      <c r="F211" s="332"/>
      <c r="G211" s="333"/>
      <c r="H211" s="444"/>
      <c r="I211" s="320"/>
      <c r="J211" s="306" t="str">
        <f>IF(OR($E211&lt;&gt;0,'הגדרות כלליות'!$D$19=1,'הגדרות כלליות'!$D$17=3,'הגדרות כלליות'!$G$24='בדיקות הצלבה'!$L$3),$B$3,"")</f>
        <v>תקין</v>
      </c>
      <c r="K211" s="536"/>
      <c r="L211" s="313" t="str">
        <f>IF(OR($E211&lt;&gt;0,'הגדרות כלליות'!$D$19=1,'הגדרות כלליות'!$D$17=3,'הגדרות כלליות'!$G$24='בדיקות הצלבה'!$L$3),"",P211)</f>
        <v/>
      </c>
      <c r="M211" s="556"/>
      <c r="N211" s="281"/>
      <c r="P211" s="42" t="s">
        <v>199</v>
      </c>
    </row>
    <row r="212" spans="1:16" ht="25.5">
      <c r="A212" s="487">
        <v>173</v>
      </c>
      <c r="B212" s="370" t="s">
        <v>118</v>
      </c>
      <c r="C212" s="370" t="s">
        <v>176</v>
      </c>
      <c r="D212" s="315">
        <f t="shared" si="7"/>
        <v>2020</v>
      </c>
      <c r="E212" s="320">
        <f>'גבייה וחייבים'!$M$20</f>
        <v>0</v>
      </c>
      <c r="F212" s="332"/>
      <c r="G212" s="333"/>
      <c r="H212" s="444"/>
      <c r="I212" s="320"/>
      <c r="J212" s="306" t="str">
        <f>IF(OR($E212&lt;&gt;0,'הגדרות כלליות'!$D$19=1,'הגדרות כלליות'!$D$17=3,'הגדרות כלליות'!$G$24='בדיקות הצלבה'!$L$3),$B$3,"")</f>
        <v>תקין</v>
      </c>
      <c r="K212" s="536"/>
      <c r="L212" s="313" t="str">
        <f>IF(OR($E212&lt;&gt;0,'הגדרות כלליות'!$D$19=1,'הגדרות כלליות'!$D$17=3,'הגדרות כלליות'!$G$24='בדיקות הצלבה'!$L$3),"",P212)</f>
        <v/>
      </c>
      <c r="M212" s="556"/>
      <c r="N212" s="281"/>
      <c r="P212" s="42" t="s">
        <v>200</v>
      </c>
    </row>
    <row r="213" spans="1:16" ht="25.5">
      <c r="A213" s="487">
        <v>174</v>
      </c>
      <c r="B213" s="370" t="s">
        <v>118</v>
      </c>
      <c r="C213" s="370" t="s">
        <v>178</v>
      </c>
      <c r="D213" s="315">
        <f t="shared" si="7"/>
        <v>2020</v>
      </c>
      <c r="E213" s="320">
        <f>'גבייה וחייבים'!$M$21</f>
        <v>0</v>
      </c>
      <c r="F213" s="332"/>
      <c r="G213" s="333"/>
      <c r="H213" s="444"/>
      <c r="I213" s="320"/>
      <c r="J213" s="306" t="str">
        <f>IF(OR($E213&lt;&gt;0,'הגדרות כלליות'!$D$19=1,'הגדרות כלליות'!$D$17=3,'הגדרות כלליות'!$G$24='בדיקות הצלבה'!$L$3),$B$3,"")</f>
        <v>תקין</v>
      </c>
      <c r="K213" s="536"/>
      <c r="L213" s="313" t="str">
        <f>IF(OR($E213&lt;&gt;0,'הגדרות כלליות'!$D$19=1,'הגדרות כלליות'!$D$17=3,'הגדרות כלליות'!$G$24='בדיקות הצלבה'!$L$3),"",P213)</f>
        <v/>
      </c>
      <c r="M213" s="556"/>
      <c r="N213" s="281"/>
      <c r="P213" s="42" t="s">
        <v>179</v>
      </c>
    </row>
    <row r="214" spans="1:16" ht="27" customHeight="1">
      <c r="A214" s="487">
        <v>175</v>
      </c>
      <c r="B214" s="370" t="s">
        <v>118</v>
      </c>
      <c r="C214" s="370" t="s">
        <v>180</v>
      </c>
      <c r="D214" s="315">
        <f t="shared" si="7"/>
        <v>2020</v>
      </c>
      <c r="E214" s="320">
        <f>'גבייה וחייבים'!$M$24</f>
        <v>0</v>
      </c>
      <c r="F214" s="332"/>
      <c r="G214" s="333"/>
      <c r="H214" s="444"/>
      <c r="I214" s="320"/>
      <c r="J214" s="306" t="str">
        <f>IF(OR($E214&lt;&gt;0,'הגדרות כלליות'!$D$19=1,'הגדרות כלליות'!$D$17=3,'הגדרות כלליות'!$G$24='בדיקות הצלבה'!$L$3),$B$3,"")</f>
        <v>תקין</v>
      </c>
      <c r="K214" s="536"/>
      <c r="L214" s="313" t="str">
        <f>IF(OR($E214&lt;&gt;0,'הגדרות כלליות'!$D$19=1,'הגדרות כלליות'!$D$17=3,'הגדרות כלליות'!$G$24='בדיקות הצלבה'!$L$3),"",P214)</f>
        <v/>
      </c>
      <c r="M214" s="556"/>
      <c r="N214" s="281"/>
      <c r="P214" s="42" t="s">
        <v>190</v>
      </c>
    </row>
    <row r="215" spans="1:16" ht="17.25" customHeight="1">
      <c r="A215" s="487">
        <v>176</v>
      </c>
      <c r="B215" s="370" t="s">
        <v>118</v>
      </c>
      <c r="C215" s="370" t="s">
        <v>191</v>
      </c>
      <c r="D215" s="315">
        <f t="shared" si="7"/>
        <v>2020</v>
      </c>
      <c r="E215" s="320">
        <f>'גבייה וחייבים'!$M$25</f>
        <v>0</v>
      </c>
      <c r="F215" s="332"/>
      <c r="G215" s="333"/>
      <c r="H215" s="444"/>
      <c r="I215" s="320"/>
      <c r="J215" s="306" t="str">
        <f>IF(OR($E215&lt;&gt;0,'הגדרות כלליות'!$D$19=1,'הגדרות כלליות'!$D$17=3,'הגדרות כלליות'!$G$24='בדיקות הצלבה'!$L$3),$B$3,"")</f>
        <v>תקין</v>
      </c>
      <c r="K215" s="536"/>
      <c r="L215" s="313" t="str">
        <f>IF(OR($E215&lt;&gt;0,'הגדרות כלליות'!$D$19=1,'הגדרות כלליות'!$D$17=3,'הגדרות כלליות'!$G$24='בדיקות הצלבה'!$L$3),"",P215)</f>
        <v/>
      </c>
      <c r="M215" s="556"/>
      <c r="N215" s="281"/>
      <c r="P215" s="42" t="s">
        <v>192</v>
      </c>
    </row>
    <row r="216" spans="1:16">
      <c r="A216" s="487"/>
      <c r="B216" s="370"/>
      <c r="C216" s="370"/>
      <c r="D216" s="315"/>
      <c r="E216" s="320"/>
      <c r="F216" s="332"/>
      <c r="G216" s="333"/>
      <c r="H216" s="444"/>
      <c r="I216" s="320"/>
      <c r="J216" s="306"/>
      <c r="K216" s="536"/>
      <c r="L216" s="313"/>
      <c r="M216" s="556"/>
      <c r="N216" s="281"/>
    </row>
    <row r="217" spans="1:16" ht="24" customHeight="1">
      <c r="A217" s="487">
        <v>177</v>
      </c>
      <c r="B217" s="370" t="s">
        <v>118</v>
      </c>
      <c r="C217" s="370" t="s">
        <v>201</v>
      </c>
      <c r="D217" s="315">
        <f t="shared" ref="D217:D222" si="8">$G$3</f>
        <v>2020</v>
      </c>
      <c r="E217" s="320">
        <f>'גבייה וחייבים'!K36</f>
        <v>0</v>
      </c>
      <c r="F217" s="332"/>
      <c r="G217" s="333"/>
      <c r="H217" s="444"/>
      <c r="I217" s="320"/>
      <c r="J217" s="306" t="str">
        <f>IF(OR($E217&lt;&gt;0,'הגדרות כלליות'!$D$17=1,'הגדרות כלליות'!$D$17=3,'הגדרות כלליות'!$G$24='בדיקות הצלבה'!$L$3),$B$3,"")</f>
        <v>תקין</v>
      </c>
      <c r="K217" s="536"/>
      <c r="L217" s="313" t="str">
        <f>IF(OR($E217&lt;&gt;0,'הגדרות כלליות'!$D$20=1,'הגדרות כלליות'!$D$20=3,'הגדרות כלליות'!$G$24='בדיקות הצלבה'!$L$3),"",P217)</f>
        <v/>
      </c>
      <c r="M217" s="556"/>
      <c r="N217" s="281"/>
      <c r="P217" s="42" t="s">
        <v>202</v>
      </c>
    </row>
    <row r="218" spans="1:16" ht="27" customHeight="1">
      <c r="A218" s="487">
        <v>178</v>
      </c>
      <c r="B218" s="370" t="s">
        <v>118</v>
      </c>
      <c r="C218" s="370" t="s">
        <v>203</v>
      </c>
      <c r="D218" s="315">
        <f t="shared" si="8"/>
        <v>2020</v>
      </c>
      <c r="E218" s="320">
        <f>'גבייה וחייבים'!K37</f>
        <v>0</v>
      </c>
      <c r="F218" s="332"/>
      <c r="G218" s="333"/>
      <c r="H218" s="444"/>
      <c r="I218" s="320"/>
      <c r="J218" s="306" t="str">
        <f>IF(OR($E218&lt;&gt;0,'הגדרות כלליות'!$D$20=1,'הגדרות כלליות'!$D$20=3,'הגדרות כלליות'!$G$24='בדיקות הצלבה'!$L$3),$B$3,"")</f>
        <v>תקין</v>
      </c>
      <c r="K218" s="536"/>
      <c r="L218" s="313" t="str">
        <f>IF(OR($E218&lt;&gt;0,'הגדרות כלליות'!$D$20=1,'הגדרות כלליות'!$D$20=3,'הגדרות כלליות'!$G$24='בדיקות הצלבה'!$L$3),"",P218)</f>
        <v/>
      </c>
      <c r="M218" s="556"/>
      <c r="N218" s="281"/>
      <c r="P218" s="42" t="s">
        <v>202</v>
      </c>
    </row>
    <row r="219" spans="1:16" ht="26.25" customHeight="1">
      <c r="A219" s="487">
        <v>179</v>
      </c>
      <c r="B219" s="370" t="s">
        <v>118</v>
      </c>
      <c r="C219" s="370" t="s">
        <v>204</v>
      </c>
      <c r="D219" s="315">
        <f t="shared" si="8"/>
        <v>2020</v>
      </c>
      <c r="E219" s="320">
        <f>'גבייה וחייבים'!K38</f>
        <v>0</v>
      </c>
      <c r="F219" s="332"/>
      <c r="G219" s="333"/>
      <c r="H219" s="444"/>
      <c r="I219" s="320"/>
      <c r="J219" s="306" t="str">
        <f>IF(OR($E219&lt;&gt;0,'הגדרות כלליות'!$D$20=1,'הגדרות כלליות'!$D$20=3,'הגדרות כלליות'!$G$24='בדיקות הצלבה'!$L$3),$B$3,"")</f>
        <v>תקין</v>
      </c>
      <c r="K219" s="536"/>
      <c r="L219" s="313" t="str">
        <f>IF(OR($E219&lt;&gt;0,'הגדרות כלליות'!$D$20=1,'הגדרות כלליות'!$D$20=3,'הגדרות כלליות'!$G$24='בדיקות הצלבה'!$L$3),"",P219)</f>
        <v/>
      </c>
      <c r="M219" s="556"/>
      <c r="N219" s="281"/>
      <c r="P219" s="42" t="s">
        <v>202</v>
      </c>
    </row>
    <row r="220" spans="1:16" ht="24" customHeight="1">
      <c r="A220" s="487">
        <v>180</v>
      </c>
      <c r="B220" s="370" t="s">
        <v>118</v>
      </c>
      <c r="C220" s="370" t="s">
        <v>205</v>
      </c>
      <c r="D220" s="315">
        <f t="shared" si="8"/>
        <v>2020</v>
      </c>
      <c r="E220" s="320">
        <f>'גבייה וחייבים'!M36</f>
        <v>0</v>
      </c>
      <c r="F220" s="332"/>
      <c r="G220" s="333"/>
      <c r="H220" s="444"/>
      <c r="I220" s="320"/>
      <c r="J220" s="306" t="str">
        <f>IF(OR($E220&lt;&gt;0,'הגדרות כלליות'!$D$20=1,'הגדרות כלליות'!$D$20=3,'הגדרות כלליות'!$G$24='בדיקות הצלבה'!$L$3),$B$3,"")</f>
        <v>תקין</v>
      </c>
      <c r="K220" s="536"/>
      <c r="L220" s="313" t="str">
        <f>IF(OR($E220&lt;&gt;0,'הגדרות כלליות'!$D$20=1,'הגדרות כלליות'!$D$20=3,'הגדרות כלליות'!$G$24='בדיקות הצלבה'!$L$3),"",P220)</f>
        <v/>
      </c>
      <c r="M220" s="556"/>
      <c r="N220" s="281"/>
      <c r="P220" s="42" t="s">
        <v>206</v>
      </c>
    </row>
    <row r="221" spans="1:16" ht="27" customHeight="1">
      <c r="A221" s="487">
        <v>181</v>
      </c>
      <c r="B221" s="370" t="s">
        <v>118</v>
      </c>
      <c r="C221" s="370" t="s">
        <v>207</v>
      </c>
      <c r="D221" s="315">
        <f t="shared" si="8"/>
        <v>2020</v>
      </c>
      <c r="E221" s="320">
        <f>'גבייה וחייבים'!M37</f>
        <v>0</v>
      </c>
      <c r="F221" s="332"/>
      <c r="G221" s="333"/>
      <c r="H221" s="444"/>
      <c r="I221" s="320"/>
      <c r="J221" s="306" t="str">
        <f>IF(OR($E221&lt;&gt;0,'הגדרות כלליות'!$D$20=1,'הגדרות כלליות'!$D$20=3,'הגדרות כלליות'!$G$24='בדיקות הצלבה'!$L$3),$B$3,"")</f>
        <v>תקין</v>
      </c>
      <c r="K221" s="536"/>
      <c r="L221" s="313" t="str">
        <f>IF(OR($E221&lt;&gt;0,'הגדרות כלליות'!$D$20=1,'הגדרות כלליות'!$D$20=3,'הגדרות כלליות'!$G$24='בדיקות הצלבה'!$L$3),"",P221)</f>
        <v/>
      </c>
      <c r="M221" s="556"/>
      <c r="N221" s="281"/>
      <c r="P221" s="42" t="s">
        <v>206</v>
      </c>
    </row>
    <row r="222" spans="1:16" ht="26.25" customHeight="1">
      <c r="A222" s="487">
        <v>182</v>
      </c>
      <c r="B222" s="370" t="s">
        <v>118</v>
      </c>
      <c r="C222" s="370" t="s">
        <v>208</v>
      </c>
      <c r="D222" s="315">
        <f t="shared" si="8"/>
        <v>2020</v>
      </c>
      <c r="E222" s="320">
        <f>'גבייה וחייבים'!M38</f>
        <v>0</v>
      </c>
      <c r="F222" s="332"/>
      <c r="G222" s="333"/>
      <c r="H222" s="444"/>
      <c r="I222" s="320"/>
      <c r="J222" s="306" t="str">
        <f>IF(OR($E222&lt;&gt;0,'הגדרות כלליות'!$D$20=1,'הגדרות כלליות'!$D$20=3,'הגדרות כלליות'!$G$24='בדיקות הצלבה'!$L$3),$B$3,"")</f>
        <v>תקין</v>
      </c>
      <c r="K222" s="536"/>
      <c r="L222" s="313" t="str">
        <f>IF(OR($E222&lt;&gt;0,'הגדרות כלליות'!$D$20=1,'הגדרות כלליות'!$D$20=3,'הגדרות כלליות'!$G$24='בדיקות הצלבה'!$L$3),"",P222)</f>
        <v/>
      </c>
      <c r="M222" s="556"/>
      <c r="N222" s="281"/>
      <c r="P222" s="42" t="s">
        <v>206</v>
      </c>
    </row>
    <row r="223" spans="1:16" ht="24" customHeight="1">
      <c r="A223" s="487">
        <v>183</v>
      </c>
      <c r="B223" s="370" t="s">
        <v>118</v>
      </c>
      <c r="C223" s="370" t="s">
        <v>209</v>
      </c>
      <c r="D223" s="315">
        <f>$F$3</f>
        <v>2021</v>
      </c>
      <c r="E223" s="320">
        <f>'גבייה וחייבים'!I36</f>
        <v>0</v>
      </c>
      <c r="F223" s="332"/>
      <c r="G223" s="333"/>
      <c r="H223" s="444"/>
      <c r="I223" s="320"/>
      <c r="J223" s="306" t="str">
        <f>IF(OR($E223&lt;&gt;0,'הגדרות כלליות'!$D$20=1,'הגדרות כלליות'!$D$20=3,'הגדרות כלליות'!$G$24='בדיקות הצלבה'!$L$3),$B$3,"")</f>
        <v>תקין</v>
      </c>
      <c r="K223" s="536"/>
      <c r="L223" s="313" t="str">
        <f>IF(OR($E223&lt;&gt;0,'הגדרות כלליות'!$D$20=1,'הגדרות כלליות'!$D$20=3,'הגדרות כלליות'!$G$24='בדיקות הצלבה'!$L$3),"",P223)</f>
        <v/>
      </c>
      <c r="M223" s="556"/>
      <c r="N223" s="281"/>
      <c r="P223" s="42" t="s">
        <v>210</v>
      </c>
    </row>
    <row r="224" spans="1:16" ht="27" customHeight="1">
      <c r="A224" s="487">
        <v>184</v>
      </c>
      <c r="B224" s="370" t="s">
        <v>118</v>
      </c>
      <c r="C224" s="370" t="s">
        <v>211</v>
      </c>
      <c r="D224" s="315">
        <f>$F$3</f>
        <v>2021</v>
      </c>
      <c r="E224" s="320">
        <f>'גבייה וחייבים'!I37</f>
        <v>0</v>
      </c>
      <c r="F224" s="332"/>
      <c r="G224" s="333"/>
      <c r="H224" s="444"/>
      <c r="I224" s="320"/>
      <c r="J224" s="306" t="str">
        <f>IF(OR($E224&lt;&gt;0,'הגדרות כלליות'!$D$20=1,'הגדרות כלליות'!$D$20=3,'הגדרות כלליות'!$G$24='בדיקות הצלבה'!$L$3),$B$3,"")</f>
        <v>תקין</v>
      </c>
      <c r="K224" s="536"/>
      <c r="L224" s="313" t="str">
        <f>IF(OR($E224&lt;&gt;0,'הגדרות כלליות'!$D$20=1,'הגדרות כלליות'!$D$20=3,'הגדרות כלליות'!$G$24='בדיקות הצלבה'!$L$3),"",P224)</f>
        <v/>
      </c>
      <c r="M224" s="556"/>
      <c r="N224" s="281"/>
      <c r="P224" s="42" t="s">
        <v>210</v>
      </c>
    </row>
    <row r="225" spans="1:16" ht="26.25" customHeight="1">
      <c r="A225" s="487">
        <v>185</v>
      </c>
      <c r="B225" s="370" t="s">
        <v>118</v>
      </c>
      <c r="C225" s="370" t="s">
        <v>212</v>
      </c>
      <c r="D225" s="315">
        <f>$F$3</f>
        <v>2021</v>
      </c>
      <c r="E225" s="320">
        <f>'גבייה וחייבים'!I38</f>
        <v>0</v>
      </c>
      <c r="F225" s="332"/>
      <c r="G225" s="333"/>
      <c r="H225" s="444"/>
      <c r="I225" s="320"/>
      <c r="J225" s="306" t="str">
        <f>IF(OR($E225&lt;&gt;0,'הגדרות כלליות'!$D$20=1,'הגדרות כלליות'!$D$20=3,'הגדרות כלליות'!$G$24='בדיקות הצלבה'!$L$3),$B$3,"")</f>
        <v>תקין</v>
      </c>
      <c r="K225" s="536"/>
      <c r="L225" s="313" t="str">
        <f>IF(OR($E225&lt;&gt;0,'הגדרות כלליות'!$D$20=1,'הגדרות כלליות'!$D$20=3,'הגדרות כלליות'!$G$24='בדיקות הצלבה'!$L$3),"",P225)</f>
        <v/>
      </c>
      <c r="M225" s="556"/>
      <c r="N225" s="281"/>
      <c r="P225" s="42" t="s">
        <v>210</v>
      </c>
    </row>
    <row r="226" spans="1:16" ht="15.75">
      <c r="A226" s="358"/>
      <c r="B226" s="620" t="s">
        <v>213</v>
      </c>
      <c r="C226" s="620"/>
      <c r="D226" s="620"/>
      <c r="E226" s="620"/>
      <c r="F226" s="620"/>
      <c r="G226" s="620"/>
      <c r="H226" s="620"/>
      <c r="I226" s="620"/>
      <c r="J226" s="359"/>
      <c r="K226" s="549"/>
      <c r="L226" s="360"/>
      <c r="M226" s="371"/>
      <c r="N226" s="281"/>
    </row>
    <row r="227" spans="1:16" ht="27.75" customHeight="1">
      <c r="A227" s="372">
        <v>186</v>
      </c>
      <c r="B227" s="373" t="s">
        <v>123</v>
      </c>
      <c r="C227" s="373" t="s">
        <v>214</v>
      </c>
      <c r="D227" s="374">
        <f t="shared" ref="D227:D240" si="9">$F$3</f>
        <v>2021</v>
      </c>
      <c r="E227" s="375">
        <f>ארנונה!$E$6</f>
        <v>65.95</v>
      </c>
      <c r="F227" s="376"/>
      <c r="G227" s="377"/>
      <c r="H227" s="453"/>
      <c r="I227" s="375"/>
      <c r="J227" s="363" t="str">
        <f>IF(OR(ארנונה!C6=0,ארנונה!E6&lt;&gt;0),$B$3,"")</f>
        <v>תקין</v>
      </c>
      <c r="K227" s="536"/>
      <c r="L227" s="364" t="str">
        <f>IF(OR(ארנונה!C6=0,ארנונה!E6&lt;&gt;0),"",P227)</f>
        <v/>
      </c>
      <c r="M227" s="555"/>
      <c r="N227" s="281"/>
      <c r="P227" s="42" t="s">
        <v>215</v>
      </c>
    </row>
    <row r="228" spans="1:16" ht="27.75" customHeight="1">
      <c r="A228" s="378">
        <v>187</v>
      </c>
      <c r="B228" s="379" t="s">
        <v>123</v>
      </c>
      <c r="C228" s="379" t="s">
        <v>216</v>
      </c>
      <c r="D228" s="374">
        <f t="shared" si="9"/>
        <v>2021</v>
      </c>
      <c r="E228" s="380">
        <f>ארנונה!$E$7</f>
        <v>367.26</v>
      </c>
      <c r="F228" s="381"/>
      <c r="G228" s="382"/>
      <c r="H228" s="453"/>
      <c r="I228" s="380"/>
      <c r="J228" s="311" t="str">
        <f>IF(OR(ארנונה!$C$7=0,ארנונה!$E$7&lt;&gt;0),$B$3,"")</f>
        <v>תקין</v>
      </c>
      <c r="K228" s="536"/>
      <c r="L228" s="312" t="str">
        <f>IF(OR(ארנונה!$C$7=0,ארנונה!$E$7&lt;&gt;0),"",P228)</f>
        <v/>
      </c>
      <c r="M228" s="556"/>
      <c r="N228" s="281"/>
      <c r="P228" s="42" t="s">
        <v>217</v>
      </c>
    </row>
    <row r="229" spans="1:16" ht="27.75" customHeight="1">
      <c r="A229" s="383">
        <v>188</v>
      </c>
      <c r="B229" s="379" t="s">
        <v>123</v>
      </c>
      <c r="C229" s="379" t="s">
        <v>218</v>
      </c>
      <c r="D229" s="374">
        <f t="shared" si="9"/>
        <v>2021</v>
      </c>
      <c r="E229" s="380">
        <f>ארנונה!$E$8</f>
        <v>1442.2752608260682</v>
      </c>
      <c r="F229" s="381"/>
      <c r="G229" s="382"/>
      <c r="H229" s="453"/>
      <c r="I229" s="380"/>
      <c r="J229" s="311" t="str">
        <f>IF(OR(ארנונה!$C$8=0,ארנונה!$E$8&lt;&gt;0),$B$3,"")</f>
        <v>תקין</v>
      </c>
      <c r="K229" s="536"/>
      <c r="L229" s="312" t="str">
        <f>IF(OR(ארנונה!$C$8=0,ארנונה!$E$8&lt;&gt;0),"",P229)</f>
        <v/>
      </c>
      <c r="M229" s="571"/>
      <c r="N229" s="281"/>
      <c r="P229" s="42" t="s">
        <v>219</v>
      </c>
    </row>
    <row r="230" spans="1:16" ht="27.75" customHeight="1">
      <c r="A230" s="378">
        <v>189</v>
      </c>
      <c r="B230" s="379" t="s">
        <v>123</v>
      </c>
      <c r="C230" s="379" t="s">
        <v>220</v>
      </c>
      <c r="D230" s="374">
        <f t="shared" si="9"/>
        <v>2021</v>
      </c>
      <c r="E230" s="380">
        <f>ארנונה!$E$9</f>
        <v>172.52</v>
      </c>
      <c r="F230" s="381"/>
      <c r="G230" s="382"/>
      <c r="H230" s="453"/>
      <c r="I230" s="380"/>
      <c r="J230" s="311" t="str">
        <f>IF(OR(ארנונה!$C$9=0,ארנונה!$E$9&lt;&gt;0),$B$3,"")</f>
        <v>תקין</v>
      </c>
      <c r="K230" s="536"/>
      <c r="L230" s="312" t="str">
        <f>IF(OR(ארנונה!$C$9=0,ארנונה!$E$9&lt;&gt;0),"",P230)</f>
        <v/>
      </c>
      <c r="M230" s="571"/>
      <c r="N230" s="281"/>
      <c r="P230" s="42" t="s">
        <v>221</v>
      </c>
    </row>
    <row r="231" spans="1:16" ht="27.75" customHeight="1">
      <c r="A231" s="383">
        <v>190</v>
      </c>
      <c r="B231" s="379" t="s">
        <v>123</v>
      </c>
      <c r="C231" s="379" t="s">
        <v>222</v>
      </c>
      <c r="D231" s="374">
        <f t="shared" si="9"/>
        <v>2021</v>
      </c>
      <c r="E231" s="380">
        <f>ארנונה!$E$10</f>
        <v>91.62</v>
      </c>
      <c r="F231" s="381"/>
      <c r="G231" s="382"/>
      <c r="H231" s="453"/>
      <c r="I231" s="380"/>
      <c r="J231" s="311" t="str">
        <f>IF(OR(ארנונה!$C$10=0,ארנונה!$E$10&lt;&gt;0),$B$3,"")</f>
        <v>תקין</v>
      </c>
      <c r="K231" s="536"/>
      <c r="L231" s="312" t="str">
        <f>IF(OR(ארנונה!$C$10=0,ארנונה!$E$10&lt;&gt;0),"",P231)</f>
        <v/>
      </c>
      <c r="M231" s="571"/>
      <c r="N231" s="281"/>
      <c r="P231" s="42" t="s">
        <v>223</v>
      </c>
    </row>
    <row r="232" spans="1:16" ht="27.75" customHeight="1">
      <c r="A232" s="378">
        <v>191</v>
      </c>
      <c r="B232" s="379" t="s">
        <v>123</v>
      </c>
      <c r="C232" s="379" t="s">
        <v>224</v>
      </c>
      <c r="D232" s="374">
        <f t="shared" si="9"/>
        <v>2021</v>
      </c>
      <c r="E232" s="380">
        <f>ארנונה!$E$11</f>
        <v>386.66</v>
      </c>
      <c r="F232" s="381"/>
      <c r="G232" s="382"/>
      <c r="H232" s="453"/>
      <c r="I232" s="380"/>
      <c r="J232" s="311" t="str">
        <f>IF(OR(ארנונה!$C$11=0,ארנונה!$E$11&lt;&gt;0),$B$3,"")</f>
        <v>תקין</v>
      </c>
      <c r="K232" s="536"/>
      <c r="L232" s="312" t="str">
        <f>IF(OR(ארנונה!$C$11=0,ארנונה!$E$11&lt;&gt;0),"",P232)</f>
        <v/>
      </c>
      <c r="M232" s="571"/>
      <c r="N232" s="281"/>
      <c r="P232" s="42" t="s">
        <v>225</v>
      </c>
    </row>
    <row r="233" spans="1:16" ht="27.75" customHeight="1">
      <c r="A233" s="383">
        <v>192</v>
      </c>
      <c r="B233" s="379" t="s">
        <v>123</v>
      </c>
      <c r="C233" s="379" t="s">
        <v>226</v>
      </c>
      <c r="D233" s="374">
        <f t="shared" si="9"/>
        <v>2021</v>
      </c>
      <c r="E233" s="380">
        <f>ארנונה!$E$12</f>
        <v>0</v>
      </c>
      <c r="F233" s="381"/>
      <c r="G233" s="382"/>
      <c r="H233" s="453"/>
      <c r="I233" s="380"/>
      <c r="J233" s="311" t="str">
        <f>IF(OR(ארנונה!$C$12=0,ארנונה!$E$12&lt;&gt;0),$B$3,"")</f>
        <v>תקין</v>
      </c>
      <c r="K233" s="536"/>
      <c r="L233" s="312" t="str">
        <f>IF(OR(ארנונה!$C$12=0,ארנונה!$E$12&lt;&gt;0),"",P233)</f>
        <v/>
      </c>
      <c r="M233" s="571"/>
      <c r="N233" s="281"/>
      <c r="P233" s="42" t="s">
        <v>227</v>
      </c>
    </row>
    <row r="234" spans="1:16" ht="27.75" customHeight="1">
      <c r="A234" s="378">
        <v>193</v>
      </c>
      <c r="B234" s="379" t="s">
        <v>123</v>
      </c>
      <c r="C234" s="379" t="s">
        <v>228</v>
      </c>
      <c r="D234" s="374">
        <f t="shared" si="9"/>
        <v>2021</v>
      </c>
      <c r="E234" s="380">
        <f>ארנונה!$E$13</f>
        <v>38.76</v>
      </c>
      <c r="F234" s="381"/>
      <c r="G234" s="382"/>
      <c r="H234" s="453"/>
      <c r="I234" s="380"/>
      <c r="J234" s="311" t="str">
        <f>IF(OR(ארנונה!$C$13=0,ארנונה!$E$13&lt;&gt;0),$B$3,"")</f>
        <v>תקין</v>
      </c>
      <c r="K234" s="536"/>
      <c r="L234" s="312" t="str">
        <f>IF(OR(ארנונה!$C$13=0,ארנונה!$E$13&lt;&gt;0),"",P234)</f>
        <v/>
      </c>
      <c r="M234" s="571"/>
      <c r="N234" s="281"/>
      <c r="P234" s="42" t="s">
        <v>229</v>
      </c>
    </row>
    <row r="235" spans="1:16" ht="27.75" customHeight="1">
      <c r="A235" s="383">
        <v>194</v>
      </c>
      <c r="B235" s="379" t="s">
        <v>123</v>
      </c>
      <c r="C235" s="379" t="s">
        <v>230</v>
      </c>
      <c r="D235" s="374">
        <f t="shared" si="9"/>
        <v>2021</v>
      </c>
      <c r="E235" s="380">
        <f>ארנונה!$E$14</f>
        <v>0</v>
      </c>
      <c r="F235" s="381"/>
      <c r="G235" s="382"/>
      <c r="H235" s="453"/>
      <c r="I235" s="380"/>
      <c r="J235" s="311" t="str">
        <f>IF(OR(ארנונה!$C$14=0,ארנונה!$E$14&lt;&gt;0),$B$3,"")</f>
        <v>תקין</v>
      </c>
      <c r="K235" s="536"/>
      <c r="L235" s="312" t="str">
        <f>IF(OR(ארנונה!$C$14=0,ארנונה!$E$14&lt;&gt;0),"",P235)</f>
        <v/>
      </c>
      <c r="M235" s="571"/>
      <c r="N235" s="281"/>
      <c r="P235" s="42" t="s">
        <v>231</v>
      </c>
    </row>
    <row r="236" spans="1:16" ht="27.75" customHeight="1">
      <c r="A236" s="378">
        <v>195</v>
      </c>
      <c r="B236" s="379" t="s">
        <v>123</v>
      </c>
      <c r="C236" s="379" t="s">
        <v>232</v>
      </c>
      <c r="D236" s="374">
        <f t="shared" si="9"/>
        <v>2021</v>
      </c>
      <c r="E236" s="380">
        <f>ארנונה!$E$15</f>
        <v>38.76</v>
      </c>
      <c r="F236" s="381"/>
      <c r="G236" s="382"/>
      <c r="H236" s="453"/>
      <c r="I236" s="380"/>
      <c r="J236" s="311" t="str">
        <f>IF(OR(ארנונה!$C$15=0,ארנונה!$E$15&lt;&gt;0),$B$3,"")</f>
        <v>תקין</v>
      </c>
      <c r="K236" s="536"/>
      <c r="L236" s="312" t="str">
        <f>IF(OR(ארנונה!$C$15=0,ארנונה!$E$15&lt;&gt;0),"",P236)</f>
        <v/>
      </c>
      <c r="M236" s="571"/>
      <c r="N236" s="281"/>
      <c r="P236" s="42" t="s">
        <v>233</v>
      </c>
    </row>
    <row r="237" spans="1:16" ht="27.75" customHeight="1">
      <c r="A237" s="383">
        <v>196</v>
      </c>
      <c r="B237" s="379" t="s">
        <v>123</v>
      </c>
      <c r="C237" s="379" t="s">
        <v>234</v>
      </c>
      <c r="D237" s="374">
        <f t="shared" si="9"/>
        <v>2021</v>
      </c>
      <c r="E237" s="380">
        <f>ארנונה!$E$16</f>
        <v>0</v>
      </c>
      <c r="F237" s="381"/>
      <c r="G237" s="382"/>
      <c r="H237" s="453"/>
      <c r="I237" s="380"/>
      <c r="J237" s="311" t="str">
        <f>IF(OR(ארנונה!$C$16=0,ארנונה!$E$16&lt;&gt;0),$B$3,"")</f>
        <v>תקין</v>
      </c>
      <c r="K237" s="536"/>
      <c r="L237" s="312" t="str">
        <f>IF(OR(ארנונה!$C$16=0,ארנונה!$E$16&lt;&gt;0),"",P237)</f>
        <v/>
      </c>
      <c r="M237" s="571"/>
      <c r="N237" s="281"/>
      <c r="P237" s="42" t="s">
        <v>235</v>
      </c>
    </row>
    <row r="238" spans="1:16" ht="27.75" customHeight="1">
      <c r="A238" s="378">
        <v>197</v>
      </c>
      <c r="B238" s="379" t="s">
        <v>123</v>
      </c>
      <c r="C238" s="379" t="s">
        <v>236</v>
      </c>
      <c r="D238" s="374">
        <f t="shared" si="9"/>
        <v>2021</v>
      </c>
      <c r="E238" s="380">
        <f>ארנונה!$E$17</f>
        <v>68.64</v>
      </c>
      <c r="F238" s="381"/>
      <c r="G238" s="382"/>
      <c r="H238" s="453"/>
      <c r="I238" s="380"/>
      <c r="J238" s="311" t="str">
        <f>IF(OR(ארנונה!$C$17=0,ארנונה!$E$17&lt;&gt;0),$B$3,"")</f>
        <v>תקין</v>
      </c>
      <c r="K238" s="536"/>
      <c r="L238" s="312" t="str">
        <f>IF(OR(ארנונה!$C$17=0,ארנונה!$E$17&lt;&gt;0),"",P238)</f>
        <v/>
      </c>
      <c r="M238" s="571"/>
      <c r="N238" s="281"/>
      <c r="P238" s="42" t="s">
        <v>237</v>
      </c>
    </row>
    <row r="239" spans="1:16" ht="27.75" customHeight="1">
      <c r="A239" s="383">
        <v>198</v>
      </c>
      <c r="B239" s="379" t="s">
        <v>123</v>
      </c>
      <c r="C239" s="379" t="s">
        <v>238</v>
      </c>
      <c r="D239" s="374">
        <f t="shared" si="9"/>
        <v>2021</v>
      </c>
      <c r="E239" s="380">
        <f>ארנונה!$E$18</f>
        <v>317.95999999999998</v>
      </c>
      <c r="F239" s="381"/>
      <c r="G239" s="382"/>
      <c r="H239" s="453"/>
      <c r="I239" s="380"/>
      <c r="J239" s="311" t="str">
        <f>IF(OR(ארנונה!$C$18=0,ארנונה!$E$18&lt;&gt;0),$B$3,"")</f>
        <v>תקין</v>
      </c>
      <c r="K239" s="536"/>
      <c r="L239" s="312" t="str">
        <f>IF(OR(ארנונה!C$18=0,ארנונה!$E$18&lt;&gt;0),"",P239)</f>
        <v/>
      </c>
      <c r="M239" s="571"/>
      <c r="N239" s="281"/>
      <c r="P239" s="42" t="s">
        <v>239</v>
      </c>
    </row>
    <row r="240" spans="1:16" ht="38.25" customHeight="1">
      <c r="A240" s="378">
        <v>199</v>
      </c>
      <c r="B240" s="379" t="s">
        <v>123</v>
      </c>
      <c r="C240" s="379" t="s">
        <v>240</v>
      </c>
      <c r="D240" s="374">
        <f t="shared" si="9"/>
        <v>2021</v>
      </c>
      <c r="E240" s="380">
        <f>ארנונה!$E$22</f>
        <v>0</v>
      </c>
      <c r="F240" s="381"/>
      <c r="G240" s="382"/>
      <c r="H240" s="453"/>
      <c r="I240" s="380"/>
      <c r="J240" s="311" t="str">
        <f>IF(OR(ארנונה!$C$22=0,ארנונה!$E$22&lt;&gt;0),$B$3,"")</f>
        <v>תקין</v>
      </c>
      <c r="K240" s="536"/>
      <c r="L240" s="312" t="str">
        <f>IF(OR(ארנונה!C$22=0,ארנונה!$E$22&lt;&gt;0),"",P240)</f>
        <v/>
      </c>
      <c r="M240" s="571"/>
      <c r="N240" s="281"/>
      <c r="P240" s="42" t="s">
        <v>241</v>
      </c>
    </row>
    <row r="241" spans="1:16" ht="27.75" customHeight="1">
      <c r="A241" s="378"/>
      <c r="B241" s="379"/>
      <c r="C241" s="379"/>
      <c r="D241" s="374"/>
      <c r="E241" s="380"/>
      <c r="F241" s="381"/>
      <c r="G241" s="382"/>
      <c r="H241" s="453"/>
      <c r="I241" s="380"/>
      <c r="J241" s="311"/>
      <c r="K241" s="536"/>
      <c r="L241" s="312"/>
      <c r="M241" s="571"/>
      <c r="N241" s="281"/>
    </row>
    <row r="242" spans="1:16" ht="27.75" customHeight="1">
      <c r="A242" s="378">
        <v>200</v>
      </c>
      <c r="B242" s="379" t="s">
        <v>123</v>
      </c>
      <c r="C242" s="379" t="s">
        <v>242</v>
      </c>
      <c r="D242" s="374">
        <f t="shared" ref="D242:D255" si="10">$F$3</f>
        <v>2021</v>
      </c>
      <c r="E242" s="380">
        <f>ארנונה!$G$6</f>
        <v>44.75</v>
      </c>
      <c r="F242" s="381"/>
      <c r="G242" s="382"/>
      <c r="H242" s="453"/>
      <c r="I242" s="380"/>
      <c r="J242" s="311" t="str">
        <f>IF(OR(ארנונה!$C$6=0,ארנונה!$G$6&lt;&gt;0),$B$3,"")</f>
        <v>תקין</v>
      </c>
      <c r="K242" s="536"/>
      <c r="L242" s="312" t="str">
        <f>IF(OR(ארנונה!$C$6=0,ארנונה!$G$6&lt;&gt;0),"",P242)</f>
        <v/>
      </c>
      <c r="M242" s="571"/>
      <c r="N242" s="281"/>
      <c r="P242" s="42" t="s">
        <v>243</v>
      </c>
    </row>
    <row r="243" spans="1:16" ht="27.75" customHeight="1">
      <c r="A243" s="378">
        <v>201</v>
      </c>
      <c r="B243" s="379" t="s">
        <v>123</v>
      </c>
      <c r="C243" s="379" t="s">
        <v>244</v>
      </c>
      <c r="D243" s="374">
        <f t="shared" si="10"/>
        <v>2021</v>
      </c>
      <c r="E243" s="380">
        <f>ארנונה!$G$7</f>
        <v>122.04</v>
      </c>
      <c r="F243" s="381"/>
      <c r="G243" s="382"/>
      <c r="H243" s="453"/>
      <c r="I243" s="380"/>
      <c r="J243" s="311" t="str">
        <f>IF(OR(ארנונה!$C$7=0,ארנונה!$G$7&lt;&gt;0),$B$3,"")</f>
        <v>תקין</v>
      </c>
      <c r="K243" s="536"/>
      <c r="L243" s="312" t="str">
        <f>IF(OR(ארנונה!$C$7=0,ארנונה!$G$7&lt;&gt;0),"",P243)</f>
        <v/>
      </c>
      <c r="M243" s="571"/>
      <c r="N243" s="281"/>
      <c r="P243" s="42" t="s">
        <v>245</v>
      </c>
    </row>
    <row r="244" spans="1:16" ht="27.75" customHeight="1">
      <c r="A244" s="378">
        <v>202</v>
      </c>
      <c r="B244" s="379" t="s">
        <v>123</v>
      </c>
      <c r="C244" s="379" t="s">
        <v>246</v>
      </c>
      <c r="D244" s="374">
        <f t="shared" si="10"/>
        <v>2021</v>
      </c>
      <c r="E244" s="380">
        <f>ארנונה!$G$8</f>
        <v>1442.2752608260682</v>
      </c>
      <c r="F244" s="381"/>
      <c r="G244" s="382"/>
      <c r="H244" s="453"/>
      <c r="I244" s="380"/>
      <c r="J244" s="311" t="str">
        <f>IF(OR(ארנונה!$C$8=0,ארנונה!$G$8&lt;&gt;0),$B$3,"")</f>
        <v>תקין</v>
      </c>
      <c r="K244" s="536"/>
      <c r="L244" s="312" t="str">
        <f>IF(OR(ארנונה!$C$8=0,ארנונה!$G$8&lt;&gt;0),"",P244)</f>
        <v/>
      </c>
      <c r="M244" s="571"/>
      <c r="N244" s="281"/>
      <c r="P244" s="42" t="s">
        <v>247</v>
      </c>
    </row>
    <row r="245" spans="1:16" ht="27.75" customHeight="1">
      <c r="A245" s="378">
        <v>203</v>
      </c>
      <c r="B245" s="379" t="s">
        <v>123</v>
      </c>
      <c r="C245" s="379" t="s">
        <v>248</v>
      </c>
      <c r="D245" s="374">
        <f t="shared" si="10"/>
        <v>2021</v>
      </c>
      <c r="E245" s="380">
        <f>ארנונה!$G$9</f>
        <v>55.9</v>
      </c>
      <c r="F245" s="381"/>
      <c r="G245" s="382"/>
      <c r="H245" s="453"/>
      <c r="I245" s="380"/>
      <c r="J245" s="311" t="str">
        <f>IF(OR(ארנונה!$C$9=0,ארנונה!$G$9&lt;&gt;0),$B$3,"")</f>
        <v>תקין</v>
      </c>
      <c r="K245" s="536"/>
      <c r="L245" s="312" t="str">
        <f>IF(OR(ארנונה!$C$9=0,ארנונה!$G$9&lt;&gt;0),"",P245)</f>
        <v/>
      </c>
      <c r="M245" s="571"/>
      <c r="N245" s="281"/>
      <c r="P245" s="42" t="s">
        <v>249</v>
      </c>
    </row>
    <row r="246" spans="1:16" ht="27.75" customHeight="1">
      <c r="A246" s="378">
        <v>204</v>
      </c>
      <c r="B246" s="379" t="s">
        <v>123</v>
      </c>
      <c r="C246" s="379" t="s">
        <v>250</v>
      </c>
      <c r="D246" s="374">
        <f t="shared" si="10"/>
        <v>2021</v>
      </c>
      <c r="E246" s="380">
        <f>ארנונה!$G$10</f>
        <v>82.53</v>
      </c>
      <c r="F246" s="381"/>
      <c r="G246" s="382"/>
      <c r="H246" s="453"/>
      <c r="I246" s="380"/>
      <c r="J246" s="311" t="str">
        <f>IF(OR(ארנונה!$C$10=0,ארנונה!$G$10&lt;&gt;0),$B$3,"")</f>
        <v>תקין</v>
      </c>
      <c r="K246" s="536"/>
      <c r="L246" s="312" t="str">
        <f>IF(OR(ארנונה!$C$10=0,ארנונה!$G$10&lt;&gt;0),"",P246)</f>
        <v/>
      </c>
      <c r="M246" s="571"/>
      <c r="N246" s="281"/>
      <c r="P246" s="42" t="s">
        <v>251</v>
      </c>
    </row>
    <row r="247" spans="1:16" ht="27.75" customHeight="1">
      <c r="A247" s="378">
        <v>205</v>
      </c>
      <c r="B247" s="379" t="s">
        <v>123</v>
      </c>
      <c r="C247" s="379" t="s">
        <v>252</v>
      </c>
      <c r="D247" s="374">
        <f t="shared" si="10"/>
        <v>2021</v>
      </c>
      <c r="E247" s="380">
        <f>ארנונה!$G$11</f>
        <v>232.88</v>
      </c>
      <c r="F247" s="381"/>
      <c r="G247" s="382"/>
      <c r="H247" s="453"/>
      <c r="I247" s="380"/>
      <c r="J247" s="311" t="str">
        <f>IF(OR(ארנונה!$C$11=0,ארנונה!$G$11&lt;&gt;0),$B$3,"")</f>
        <v>תקין</v>
      </c>
      <c r="K247" s="536"/>
      <c r="L247" s="312" t="str">
        <f>IF(OR(ארנונה!$C$11=0,ארנונה!$G$11&lt;&gt;0),"",P247)</f>
        <v/>
      </c>
      <c r="M247" s="571"/>
      <c r="N247" s="281"/>
      <c r="P247" s="42" t="s">
        <v>253</v>
      </c>
    </row>
    <row r="248" spans="1:16" ht="27.75" customHeight="1">
      <c r="A248" s="378">
        <v>206</v>
      </c>
      <c r="B248" s="379" t="s">
        <v>123</v>
      </c>
      <c r="C248" s="379" t="s">
        <v>254</v>
      </c>
      <c r="D248" s="374">
        <f t="shared" si="10"/>
        <v>2021</v>
      </c>
      <c r="E248" s="380">
        <f>ארנונה!$G$12</f>
        <v>0</v>
      </c>
      <c r="F248" s="381"/>
      <c r="G248" s="382"/>
      <c r="H248" s="453"/>
      <c r="I248" s="380"/>
      <c r="J248" s="311" t="str">
        <f>IF(OR(ארנונה!$C$12=0,ארנונה!$G$12&lt;&gt;0),$B$3,"")</f>
        <v>תקין</v>
      </c>
      <c r="K248" s="536"/>
      <c r="L248" s="312" t="str">
        <f>IF(OR(ארנונה!$C$12=0,ארנונה!$G$12&lt;&gt;0),"",P248)</f>
        <v/>
      </c>
      <c r="M248" s="571"/>
      <c r="N248" s="281"/>
      <c r="P248" s="42" t="s">
        <v>255</v>
      </c>
    </row>
    <row r="249" spans="1:16" ht="27.75" customHeight="1">
      <c r="A249" s="378">
        <v>207</v>
      </c>
      <c r="B249" s="379" t="s">
        <v>123</v>
      </c>
      <c r="C249" s="379" t="s">
        <v>256</v>
      </c>
      <c r="D249" s="374">
        <f t="shared" si="10"/>
        <v>2021</v>
      </c>
      <c r="E249" s="380">
        <f>ארנונה!$G$13</f>
        <v>1.32</v>
      </c>
      <c r="F249" s="381"/>
      <c r="G249" s="382"/>
      <c r="H249" s="453"/>
      <c r="I249" s="380"/>
      <c r="J249" s="311" t="str">
        <f>IF(OR(ארנונה!$C$13=0,ארנונה!$G$13&lt;&gt;0),$B$3,"")</f>
        <v>תקין</v>
      </c>
      <c r="K249" s="536"/>
      <c r="L249" s="312" t="str">
        <f>IF(OR(ארנונה!$C$13=0,ארנונה!$G$13&lt;&gt;0),"",P249)</f>
        <v/>
      </c>
      <c r="M249" s="571"/>
      <c r="N249" s="281"/>
      <c r="P249" s="42" t="s">
        <v>257</v>
      </c>
    </row>
    <row r="250" spans="1:16" ht="27.75" customHeight="1">
      <c r="A250" s="378">
        <v>208</v>
      </c>
      <c r="B250" s="379" t="s">
        <v>123</v>
      </c>
      <c r="C250" s="379" t="s">
        <v>258</v>
      </c>
      <c r="D250" s="374">
        <f t="shared" si="10"/>
        <v>2021</v>
      </c>
      <c r="E250" s="380">
        <f>ארנונה!$G$14</f>
        <v>0</v>
      </c>
      <c r="F250" s="381"/>
      <c r="G250" s="382"/>
      <c r="H250" s="453"/>
      <c r="I250" s="380"/>
      <c r="J250" s="311" t="str">
        <f>IF(OR(ארנונה!$C$14=0,ארנונה!$G$14&lt;&gt;0),$B$3,"")</f>
        <v>תקין</v>
      </c>
      <c r="K250" s="536"/>
      <c r="L250" s="312" t="str">
        <f>IF(OR(ארנונה!$C$14=0,ארנונה!$G$14&lt;&gt;0),"",P250)</f>
        <v/>
      </c>
      <c r="M250" s="571"/>
      <c r="N250" s="281"/>
      <c r="P250" s="42" t="s">
        <v>259</v>
      </c>
    </row>
    <row r="251" spans="1:16" ht="27.75" customHeight="1">
      <c r="A251" s="378">
        <v>209</v>
      </c>
      <c r="B251" s="379" t="s">
        <v>123</v>
      </c>
      <c r="C251" s="379" t="s">
        <v>260</v>
      </c>
      <c r="D251" s="374">
        <f t="shared" si="10"/>
        <v>2021</v>
      </c>
      <c r="E251" s="380">
        <f>ארנונה!$G$15</f>
        <v>19.75</v>
      </c>
      <c r="F251" s="381"/>
      <c r="G251" s="382"/>
      <c r="H251" s="453"/>
      <c r="I251" s="380"/>
      <c r="J251" s="311" t="str">
        <f>IF(OR(ארנונה!$C$15=0,ארנונה!$G$15&lt;&gt;0),$B$3,"")</f>
        <v>תקין</v>
      </c>
      <c r="K251" s="536"/>
      <c r="L251" s="312" t="str">
        <f>IF(OR(ארנונה!$C$15=0,ארנונה!$G$15&lt;&gt;0),"",P251)</f>
        <v/>
      </c>
      <c r="M251" s="571"/>
      <c r="N251" s="281"/>
      <c r="P251" s="42" t="s">
        <v>261</v>
      </c>
    </row>
    <row r="252" spans="1:16" ht="27.75" customHeight="1">
      <c r="A252" s="378">
        <v>210</v>
      </c>
      <c r="B252" s="379" t="s">
        <v>123</v>
      </c>
      <c r="C252" s="379" t="s">
        <v>262</v>
      </c>
      <c r="D252" s="374">
        <f t="shared" si="10"/>
        <v>2021</v>
      </c>
      <c r="E252" s="380">
        <f>ארנונה!$G$16</f>
        <v>0</v>
      </c>
      <c r="F252" s="381"/>
      <c r="G252" s="382"/>
      <c r="H252" s="453"/>
      <c r="I252" s="380"/>
      <c r="J252" s="311" t="str">
        <f>IF(OR(ארנונה!$C$16=0,ארנונה!$G$16&lt;&gt;0),$B$3,"")</f>
        <v>תקין</v>
      </c>
      <c r="K252" s="536"/>
      <c r="L252" s="312" t="str">
        <f>IF(OR(ארנונה!$C$16=0,ארנונה!$G$16&lt;&gt;0),"",P252)</f>
        <v/>
      </c>
      <c r="M252" s="571"/>
      <c r="N252" s="281"/>
      <c r="P252" s="42" t="s">
        <v>263</v>
      </c>
    </row>
    <row r="253" spans="1:16" ht="27.75" customHeight="1">
      <c r="A253" s="378">
        <v>211</v>
      </c>
      <c r="B253" s="379" t="s">
        <v>123</v>
      </c>
      <c r="C253" s="379" t="s">
        <v>264</v>
      </c>
      <c r="D253" s="374">
        <f t="shared" si="10"/>
        <v>2021</v>
      </c>
      <c r="E253" s="380">
        <f>ארנונה!$G$17</f>
        <v>68.636740948853841</v>
      </c>
      <c r="F253" s="381"/>
      <c r="G253" s="382"/>
      <c r="H253" s="453"/>
      <c r="I253" s="380"/>
      <c r="J253" s="311" t="str">
        <f>IF(OR(ארנונה!$C$17=0,ארנונה!$G$17&lt;&gt;0),$B$3,"")</f>
        <v>תקין</v>
      </c>
      <c r="K253" s="536"/>
      <c r="L253" s="312" t="str">
        <f>IF(OR(ארנונה!$C$17=0,ארנונה!$G$17&lt;&gt;0),"",P253)</f>
        <v/>
      </c>
      <c r="M253" s="571"/>
      <c r="N253" s="281"/>
      <c r="P253" s="42" t="s">
        <v>265</v>
      </c>
    </row>
    <row r="254" spans="1:16" ht="27.75" customHeight="1">
      <c r="A254" s="378">
        <v>212</v>
      </c>
      <c r="B254" s="379" t="s">
        <v>123</v>
      </c>
      <c r="C254" s="379" t="s">
        <v>266</v>
      </c>
      <c r="D254" s="374">
        <f t="shared" si="10"/>
        <v>2021</v>
      </c>
      <c r="E254" s="380">
        <f>ארנונה!$G$18</f>
        <v>77.58</v>
      </c>
      <c r="F254" s="381"/>
      <c r="G254" s="382"/>
      <c r="H254" s="453"/>
      <c r="I254" s="380"/>
      <c r="J254" s="311" t="str">
        <f>IF(OR(ארנונה!$C$18=0,ארנונה!$G$18&lt;&gt;0),$B$3,"")</f>
        <v>תקין</v>
      </c>
      <c r="K254" s="536"/>
      <c r="L254" s="312" t="str">
        <f>IF(OR(ארנונה!C$18=0,ארנונה!$G$18&lt;&gt;0),"",P254)</f>
        <v/>
      </c>
      <c r="M254" s="571"/>
      <c r="N254" s="281"/>
      <c r="P254" s="42" t="s">
        <v>267</v>
      </c>
    </row>
    <row r="255" spans="1:16" ht="38.25" customHeight="1">
      <c r="A255" s="378">
        <v>213</v>
      </c>
      <c r="B255" s="379" t="s">
        <v>123</v>
      </c>
      <c r="C255" s="379" t="s">
        <v>268</v>
      </c>
      <c r="D255" s="374">
        <f t="shared" si="10"/>
        <v>2021</v>
      </c>
      <c r="E255" s="380">
        <f>ארנונה!$G$22</f>
        <v>0</v>
      </c>
      <c r="F255" s="381"/>
      <c r="G255" s="382"/>
      <c r="H255" s="453"/>
      <c r="I255" s="380"/>
      <c r="J255" s="311" t="str">
        <f>IF(OR(ארנונה!$C$22=0,ארנונה!$G$22&lt;&gt;0),$B$3,"")</f>
        <v>תקין</v>
      </c>
      <c r="K255" s="536"/>
      <c r="L255" s="312" t="str">
        <f>IF(OR(ארנונה!C$22=0,ארנונה!$G$22&lt;&gt;0),"",P255)</f>
        <v/>
      </c>
      <c r="M255" s="571"/>
      <c r="N255" s="281"/>
      <c r="P255" s="42" t="s">
        <v>269</v>
      </c>
    </row>
    <row r="256" spans="1:16" ht="27.75" customHeight="1">
      <c r="A256" s="378"/>
      <c r="B256" s="379"/>
      <c r="C256" s="379"/>
      <c r="D256" s="374"/>
      <c r="E256" s="380"/>
      <c r="F256" s="381"/>
      <c r="G256" s="382"/>
      <c r="H256" s="453"/>
      <c r="I256" s="380"/>
      <c r="J256" s="311"/>
      <c r="K256" s="536"/>
      <c r="L256" s="312"/>
      <c r="M256" s="571"/>
      <c r="N256" s="281"/>
    </row>
    <row r="257" spans="1:16" ht="27.75" customHeight="1">
      <c r="A257" s="378">
        <v>214</v>
      </c>
      <c r="B257" s="379" t="s">
        <v>123</v>
      </c>
      <c r="C257" s="379" t="s">
        <v>270</v>
      </c>
      <c r="D257" s="374">
        <f t="shared" ref="D257:D270" si="11">$G$3</f>
        <v>2020</v>
      </c>
      <c r="E257" s="380">
        <f>ארנונה!$K$6</f>
        <v>64.680000000000007</v>
      </c>
      <c r="F257" s="381"/>
      <c r="G257" s="382"/>
      <c r="H257" s="453"/>
      <c r="I257" s="380"/>
      <c r="J257" s="311" t="str">
        <f>IF(OR(ארנונה!$C$6=0,ארנונה!$K$6&lt;&gt;0),$B$3,"")</f>
        <v>תקין</v>
      </c>
      <c r="K257" s="536"/>
      <c r="L257" s="312" t="str">
        <f>IF(OR(ארנונה!$C$6=0,ארנונה!$K$6&lt;&gt;0),"",P257)</f>
        <v/>
      </c>
      <c r="M257" s="571"/>
      <c r="N257" s="281"/>
      <c r="P257" s="42" t="s">
        <v>271</v>
      </c>
    </row>
    <row r="258" spans="1:16" ht="27.75" customHeight="1">
      <c r="A258" s="378">
        <v>215</v>
      </c>
      <c r="B258" s="379" t="s">
        <v>123</v>
      </c>
      <c r="C258" s="379" t="s">
        <v>272</v>
      </c>
      <c r="D258" s="374">
        <f t="shared" si="11"/>
        <v>2020</v>
      </c>
      <c r="E258" s="380">
        <f>ארנונה!$K$7</f>
        <v>295.54000000000002</v>
      </c>
      <c r="F258" s="381"/>
      <c r="G258" s="382"/>
      <c r="H258" s="453"/>
      <c r="I258" s="380"/>
      <c r="J258" s="311" t="str">
        <f>IF(OR(ארנונה!$C$7=0,ארנונה!$K$7&lt;&gt;0),$B$3,"")</f>
        <v>תקין</v>
      </c>
      <c r="K258" s="536"/>
      <c r="L258" s="312" t="str">
        <f>IF(OR(ארנונה!$C$7=0,ארנונה!$K$7&lt;&gt;0),"",P258)</f>
        <v/>
      </c>
      <c r="M258" s="571"/>
      <c r="N258" s="281"/>
      <c r="P258" s="42" t="s">
        <v>273</v>
      </c>
    </row>
    <row r="259" spans="1:16" ht="27.75" customHeight="1">
      <c r="A259" s="378">
        <v>216</v>
      </c>
      <c r="B259" s="379" t="s">
        <v>123</v>
      </c>
      <c r="C259" s="379" t="s">
        <v>274</v>
      </c>
      <c r="D259" s="374">
        <f t="shared" si="11"/>
        <v>2020</v>
      </c>
      <c r="E259" s="380">
        <f>ארנונה!$K$8</f>
        <v>1426.7</v>
      </c>
      <c r="F259" s="381"/>
      <c r="G259" s="382"/>
      <c r="H259" s="453"/>
      <c r="I259" s="380"/>
      <c r="J259" s="311" t="str">
        <f>IF(OR(ארנונה!$C$8=0,ארנונה!$K$8&lt;&gt;0),$B$3,"")</f>
        <v>תקין</v>
      </c>
      <c r="K259" s="536"/>
      <c r="L259" s="312" t="str">
        <f>IF(OR(ארנונה!$C$8=0,ארנונה!$K$8&lt;&gt;0),"",P259)</f>
        <v/>
      </c>
      <c r="M259" s="571"/>
      <c r="N259" s="281"/>
      <c r="P259" s="42" t="s">
        <v>275</v>
      </c>
    </row>
    <row r="260" spans="1:16" ht="27.75" customHeight="1">
      <c r="A260" s="378">
        <v>217</v>
      </c>
      <c r="B260" s="379" t="s">
        <v>123</v>
      </c>
      <c r="C260" s="379" t="s">
        <v>276</v>
      </c>
      <c r="D260" s="374">
        <f t="shared" si="11"/>
        <v>2020</v>
      </c>
      <c r="E260" s="380">
        <f>ארנונה!$K$9</f>
        <v>161.76</v>
      </c>
      <c r="F260" s="381"/>
      <c r="G260" s="382"/>
      <c r="H260" s="453"/>
      <c r="I260" s="380"/>
      <c r="J260" s="311" t="str">
        <f>IF(OR(ארנונה!$C$9=0,ארנונה!$K$9&lt;&gt;0),$B$3,"")</f>
        <v>תקין</v>
      </c>
      <c r="K260" s="536"/>
      <c r="L260" s="312" t="str">
        <f>IF(OR(ארנונה!$C$9=0,ארנונה!$K$9&lt;&gt;0),"",P260)</f>
        <v/>
      </c>
      <c r="M260" s="571"/>
      <c r="N260" s="281"/>
      <c r="P260" s="42" t="s">
        <v>277</v>
      </c>
    </row>
    <row r="261" spans="1:16" ht="27.75" customHeight="1">
      <c r="A261" s="378">
        <v>218</v>
      </c>
      <c r="B261" s="379" t="s">
        <v>123</v>
      </c>
      <c r="C261" s="379" t="s">
        <v>278</v>
      </c>
      <c r="D261" s="374">
        <f t="shared" si="11"/>
        <v>2020</v>
      </c>
      <c r="E261" s="380">
        <f>ארנונה!$K$10</f>
        <v>88.08</v>
      </c>
      <c r="F261" s="381"/>
      <c r="G261" s="382"/>
      <c r="H261" s="453"/>
      <c r="I261" s="380"/>
      <c r="J261" s="311" t="str">
        <f>IF(OR(ארנונה!$C$10=0,ארנונה!$K$10&lt;&gt;0),$B$3,"")</f>
        <v>תקין</v>
      </c>
      <c r="K261" s="536"/>
      <c r="L261" s="312" t="str">
        <f>IF(OR(ארנונה!$C$10=0,ארנונה!$K$10&lt;&gt;0),"",P261)</f>
        <v/>
      </c>
      <c r="M261" s="571"/>
      <c r="N261" s="281"/>
      <c r="P261" s="42" t="s">
        <v>279</v>
      </c>
    </row>
    <row r="262" spans="1:16" ht="27.75" customHeight="1">
      <c r="A262" s="378">
        <v>219</v>
      </c>
      <c r="B262" s="379" t="s">
        <v>123</v>
      </c>
      <c r="C262" s="379" t="s">
        <v>280</v>
      </c>
      <c r="D262" s="374">
        <f t="shared" si="11"/>
        <v>2020</v>
      </c>
      <c r="E262" s="380">
        <f>ארנונה!$K$11</f>
        <v>264.64999999999998</v>
      </c>
      <c r="F262" s="381"/>
      <c r="G262" s="382"/>
      <c r="H262" s="453"/>
      <c r="I262" s="380"/>
      <c r="J262" s="311" t="str">
        <f>IF(OR(ארנונה!$C$11=0,ארנונה!$K$11&lt;&gt;0),$B$3,"")</f>
        <v>תקין</v>
      </c>
      <c r="K262" s="536"/>
      <c r="L262" s="312" t="str">
        <f>IF(OR(ארנונה!$C$11=0,ארנונה!$K$11&lt;&gt;0),"",P262)</f>
        <v/>
      </c>
      <c r="M262" s="571"/>
      <c r="N262" s="281"/>
      <c r="P262" s="42" t="s">
        <v>281</v>
      </c>
    </row>
    <row r="263" spans="1:16" ht="38.25" customHeight="1">
      <c r="A263" s="378">
        <v>220</v>
      </c>
      <c r="B263" s="384" t="s">
        <v>123</v>
      </c>
      <c r="C263" s="384" t="s">
        <v>282</v>
      </c>
      <c r="D263" s="374">
        <f t="shared" si="11"/>
        <v>2020</v>
      </c>
      <c r="E263" s="385">
        <f>ארנונה!$K$12</f>
        <v>0</v>
      </c>
      <c r="F263" s="386"/>
      <c r="G263" s="387"/>
      <c r="H263" s="453"/>
      <c r="I263" s="385"/>
      <c r="J263" s="306" t="str">
        <f>IF(OR(ארנונה!$C$12=0,ארנונה!$K$12&lt;&gt;0),$B$3,"")</f>
        <v>תקין</v>
      </c>
      <c r="K263" s="536"/>
      <c r="L263" s="313" t="str">
        <f>IF(OR(ארנונה!$C$12=0,ארנונה!$K$12&lt;&gt;0),"",P263)</f>
        <v/>
      </c>
      <c r="M263" s="556"/>
      <c r="N263" s="305"/>
      <c r="P263" s="42" t="s">
        <v>283</v>
      </c>
    </row>
    <row r="264" spans="1:16" ht="25.5">
      <c r="A264" s="378">
        <v>221</v>
      </c>
      <c r="B264" s="384" t="s">
        <v>123</v>
      </c>
      <c r="C264" s="384" t="s">
        <v>284</v>
      </c>
      <c r="D264" s="374">
        <f t="shared" si="11"/>
        <v>2020</v>
      </c>
      <c r="E264" s="385">
        <f>ארנונה!$K$13</f>
        <v>34.229999999999997</v>
      </c>
      <c r="F264" s="386"/>
      <c r="G264" s="387"/>
      <c r="H264" s="453"/>
      <c r="I264" s="385"/>
      <c r="J264" s="306" t="str">
        <f>IF(OR(ארנונה!$C$13=0,ארנונה!$K$13&lt;&gt;0),$B$3,"")</f>
        <v>תקין</v>
      </c>
      <c r="K264" s="536"/>
      <c r="L264" s="313" t="str">
        <f>IF(OR(ארנונה!$C$13=0,ארנונה!$K$13&lt;&gt;0),"",P264)</f>
        <v/>
      </c>
      <c r="M264" s="556"/>
      <c r="N264" s="305"/>
      <c r="P264" s="42" t="s">
        <v>285</v>
      </c>
    </row>
    <row r="265" spans="1:16" ht="28.5" customHeight="1">
      <c r="A265" s="378">
        <v>222</v>
      </c>
      <c r="B265" s="384" t="s">
        <v>123</v>
      </c>
      <c r="C265" s="384" t="s">
        <v>286</v>
      </c>
      <c r="D265" s="374">
        <f t="shared" si="11"/>
        <v>2020</v>
      </c>
      <c r="E265" s="385">
        <f>ארנונה!$K$14</f>
        <v>0</v>
      </c>
      <c r="F265" s="386"/>
      <c r="G265" s="387"/>
      <c r="H265" s="453"/>
      <c r="I265" s="385"/>
      <c r="J265" s="306" t="str">
        <f>IF(OR(ארנונה!$C$14=0,ארנונה!$K$14&lt;&gt;0),$B$3,"")</f>
        <v>תקין</v>
      </c>
      <c r="K265" s="536"/>
      <c r="L265" s="313" t="str">
        <f>IF(OR(ארנונה!$C$14=0,ארנונה!$K$14&lt;&gt;0),"",P265)</f>
        <v/>
      </c>
      <c r="M265" s="556"/>
      <c r="N265" s="281"/>
      <c r="P265" s="42" t="s">
        <v>287</v>
      </c>
    </row>
    <row r="266" spans="1:16" ht="39" customHeight="1">
      <c r="A266" s="378">
        <v>223</v>
      </c>
      <c r="B266" s="384" t="s">
        <v>123</v>
      </c>
      <c r="C266" s="384" t="s">
        <v>288</v>
      </c>
      <c r="D266" s="374">
        <f t="shared" si="11"/>
        <v>2020</v>
      </c>
      <c r="E266" s="385">
        <f>ארנונה!$K$15</f>
        <v>25.58</v>
      </c>
      <c r="F266" s="386"/>
      <c r="G266" s="387"/>
      <c r="H266" s="453"/>
      <c r="I266" s="385"/>
      <c r="J266" s="306" t="str">
        <f>IF(OR(ארנונה!$C$15=0,ארנונה!$K$15&lt;&gt;0),$B$3,"")</f>
        <v>תקין</v>
      </c>
      <c r="K266" s="536"/>
      <c r="L266" s="313" t="str">
        <f>IF(OR(ארנונה!$C$15=0,ארנונה!$K$15&lt;&gt;0),"",P266)</f>
        <v/>
      </c>
      <c r="M266" s="556"/>
      <c r="N266" s="281"/>
      <c r="P266" s="42" t="s">
        <v>289</v>
      </c>
    </row>
    <row r="267" spans="1:16" ht="30.75" customHeight="1">
      <c r="A267" s="378">
        <v>224</v>
      </c>
      <c r="B267" s="384" t="s">
        <v>123</v>
      </c>
      <c r="C267" s="384" t="s">
        <v>290</v>
      </c>
      <c r="D267" s="374">
        <f t="shared" si="11"/>
        <v>2020</v>
      </c>
      <c r="E267" s="385">
        <f>ארנונה!$K$16</f>
        <v>0</v>
      </c>
      <c r="F267" s="386"/>
      <c r="G267" s="387"/>
      <c r="H267" s="453"/>
      <c r="I267" s="385"/>
      <c r="J267" s="306" t="str">
        <f>IF(OR(ארנונה!$C$16=0,ארנונה!$K$16&lt;&gt;0),$B$3,"")</f>
        <v>תקין</v>
      </c>
      <c r="K267" s="536"/>
      <c r="L267" s="313" t="str">
        <f>IF(OR(ארנונה!$C$16=0,ארנונה!$K$16&lt;&gt;0),"",P267)</f>
        <v/>
      </c>
      <c r="M267" s="556"/>
      <c r="N267" s="281"/>
      <c r="P267" s="42" t="s">
        <v>291</v>
      </c>
    </row>
    <row r="268" spans="1:16" ht="25.5">
      <c r="A268" s="378">
        <v>225</v>
      </c>
      <c r="B268" s="388" t="s">
        <v>123</v>
      </c>
      <c r="C268" s="388" t="s">
        <v>292</v>
      </c>
      <c r="D268" s="389">
        <f t="shared" si="11"/>
        <v>2020</v>
      </c>
      <c r="E268" s="390">
        <f>ארנונה!$K$17</f>
        <v>70.290000000000006</v>
      </c>
      <c r="F268" s="391"/>
      <c r="G268" s="392"/>
      <c r="H268" s="454"/>
      <c r="I268" s="390"/>
      <c r="J268" s="337" t="str">
        <f>IF(OR(ארנונה!$C$17=0,ארנונה!$K$17&lt;&gt;0),$B$3,"")</f>
        <v>תקין</v>
      </c>
      <c r="K268" s="545"/>
      <c r="L268" s="339" t="str">
        <f>IF(OR(ארנונה!$C$17=0,ארנונה!$K$17&lt;&gt;0),"",P268)</f>
        <v/>
      </c>
      <c r="M268" s="557"/>
      <c r="N268" s="281"/>
      <c r="P268" s="42" t="s">
        <v>293</v>
      </c>
    </row>
    <row r="269" spans="1:16" ht="25.5">
      <c r="A269" s="378">
        <v>226</v>
      </c>
      <c r="B269" s="388" t="s">
        <v>123</v>
      </c>
      <c r="C269" s="388" t="s">
        <v>294</v>
      </c>
      <c r="D269" s="389">
        <f t="shared" si="11"/>
        <v>2020</v>
      </c>
      <c r="E269" s="390">
        <f>ארנונה!$K$18</f>
        <v>286.13</v>
      </c>
      <c r="F269" s="391"/>
      <c r="G269" s="392"/>
      <c r="H269" s="454"/>
      <c r="I269" s="390"/>
      <c r="J269" s="337" t="str">
        <f>IF(OR(ארנונה!$C$18=0,ארנונה!$K$18&lt;&gt;0),$B$3,"")</f>
        <v>תקין</v>
      </c>
      <c r="K269" s="545"/>
      <c r="L269" s="339" t="str">
        <f>IF(OR(ארנונה!C$18=0,ארנונה!$K$18&lt;&gt;0),"",P269)</f>
        <v/>
      </c>
      <c r="M269" s="557"/>
      <c r="N269" s="281"/>
      <c r="P269" s="42" t="s">
        <v>295</v>
      </c>
    </row>
    <row r="270" spans="1:16" ht="38.25">
      <c r="A270" s="378">
        <v>227</v>
      </c>
      <c r="B270" s="388" t="s">
        <v>123</v>
      </c>
      <c r="C270" s="388" t="s">
        <v>296</v>
      </c>
      <c r="D270" s="389">
        <f t="shared" si="11"/>
        <v>2020</v>
      </c>
      <c r="E270" s="390">
        <f>ארנונה!$K$22</f>
        <v>0</v>
      </c>
      <c r="F270" s="391"/>
      <c r="G270" s="392"/>
      <c r="H270" s="454"/>
      <c r="I270" s="390"/>
      <c r="J270" s="337" t="str">
        <f>IF(OR(ארנונה!$C$22=0,ארנונה!$K$22&lt;&gt;0),$B$3,"")</f>
        <v>תקין</v>
      </c>
      <c r="K270" s="545"/>
      <c r="L270" s="339" t="str">
        <f>IF(OR(ארנונה!C$22=0,ארנונה!$K$22&lt;&gt;0),"",P270)</f>
        <v/>
      </c>
      <c r="M270" s="557"/>
      <c r="N270" s="281"/>
      <c r="P270" s="42" t="s">
        <v>297</v>
      </c>
    </row>
    <row r="271" spans="1:16">
      <c r="A271" s="393"/>
      <c r="B271" s="388"/>
      <c r="C271" s="388"/>
      <c r="D271" s="389"/>
      <c r="E271" s="390"/>
      <c r="F271" s="391"/>
      <c r="G271" s="392"/>
      <c r="H271" s="454"/>
      <c r="I271" s="390"/>
      <c r="J271" s="337"/>
      <c r="K271" s="545"/>
      <c r="L271" s="339"/>
      <c r="M271" s="557"/>
      <c r="N271" s="281"/>
    </row>
    <row r="272" spans="1:16">
      <c r="A272" s="393">
        <v>228</v>
      </c>
      <c r="B272" s="388" t="s">
        <v>123</v>
      </c>
      <c r="C272" s="388" t="s">
        <v>298</v>
      </c>
      <c r="D272" s="389">
        <f t="shared" ref="D272:D285" si="12">$F$3</f>
        <v>2021</v>
      </c>
      <c r="E272" s="390">
        <f>ארנונה!$O$6</f>
        <v>288108.59999999998</v>
      </c>
      <c r="F272" s="391"/>
      <c r="G272" s="392"/>
      <c r="H272" s="454"/>
      <c r="I272" s="390"/>
      <c r="J272" s="337" t="str">
        <f>IF(OR(ארנונה!$C$6=0,ארנונה!$O$6&lt;&gt;0),$B$3,"")</f>
        <v>תקין</v>
      </c>
      <c r="K272" s="545"/>
      <c r="L272" s="339" t="str">
        <f>IF(OR(ארנונה!$C$6=0,ארנונה!$O$6&lt;&gt;0),"",P272)</f>
        <v/>
      </c>
      <c r="M272" s="557"/>
      <c r="N272" s="281"/>
      <c r="P272" s="42" t="s">
        <v>299</v>
      </c>
    </row>
    <row r="273" spans="1:16">
      <c r="A273" s="393">
        <v>229</v>
      </c>
      <c r="B273" s="388" t="s">
        <v>123</v>
      </c>
      <c r="C273" s="388" t="s">
        <v>300</v>
      </c>
      <c r="D273" s="389">
        <f t="shared" si="12"/>
        <v>2021</v>
      </c>
      <c r="E273" s="390">
        <f>ארנונה!$O$7</f>
        <v>90435.4</v>
      </c>
      <c r="F273" s="391"/>
      <c r="G273" s="392"/>
      <c r="H273" s="454"/>
      <c r="I273" s="390"/>
      <c r="J273" s="337" t="str">
        <f>IF(OR(ארנונה!$C$7=0,ארנונה!$O$7&lt;&gt;0),$B$3,"")</f>
        <v>תקין</v>
      </c>
      <c r="K273" s="545"/>
      <c r="L273" s="339" t="str">
        <f>IF(OR(ארנונה!$C$7=0,ארנונה!$O$7&lt;&gt;0),"",P273)</f>
        <v/>
      </c>
      <c r="M273" s="557"/>
      <c r="N273" s="281"/>
      <c r="P273" s="42" t="s">
        <v>301</v>
      </c>
    </row>
    <row r="274" spans="1:16">
      <c r="A274" s="393">
        <v>230</v>
      </c>
      <c r="B274" s="388" t="s">
        <v>123</v>
      </c>
      <c r="C274" s="388" t="s">
        <v>302</v>
      </c>
      <c r="D274" s="389">
        <f t="shared" si="12"/>
        <v>2021</v>
      </c>
      <c r="E274" s="390">
        <f>ארנונה!$O$8</f>
        <v>10091.6</v>
      </c>
      <c r="F274" s="391"/>
      <c r="G274" s="392"/>
      <c r="H274" s="454"/>
      <c r="I274" s="390"/>
      <c r="J274" s="337" t="str">
        <f>IF(OR(ארנונה!$C$8=0,ארנונה!$O$8&lt;&gt;0),$B$3,"")</f>
        <v>תקין</v>
      </c>
      <c r="K274" s="545"/>
      <c r="L274" s="339" t="str">
        <f>IF(OR(ארנונה!$C$8=0,ארנונה!$O$8&lt;&gt;0),"",P274)</f>
        <v/>
      </c>
      <c r="M274" s="557"/>
      <c r="N274" s="281"/>
      <c r="P274" s="42" t="s">
        <v>303</v>
      </c>
    </row>
    <row r="275" spans="1:16">
      <c r="A275" s="393">
        <v>231</v>
      </c>
      <c r="B275" s="388" t="s">
        <v>123</v>
      </c>
      <c r="C275" s="388" t="s">
        <v>304</v>
      </c>
      <c r="D275" s="389">
        <f t="shared" si="12"/>
        <v>2021</v>
      </c>
      <c r="E275" s="390">
        <f>ארנונה!$O$9</f>
        <v>29802</v>
      </c>
      <c r="F275" s="391"/>
      <c r="G275" s="392"/>
      <c r="H275" s="454"/>
      <c r="I275" s="390"/>
      <c r="J275" s="337" t="str">
        <f>IF(OR(ארנונה!$C$9=0,ארנונה!$O$9&lt;&gt;0),$B$3,"")</f>
        <v>תקין</v>
      </c>
      <c r="K275" s="545"/>
      <c r="L275" s="339" t="str">
        <f>IF(OR(ארנונה!$C$9=0,ארנונה!$O$9&lt;&gt;0),"",P275)</f>
        <v/>
      </c>
      <c r="M275" s="557"/>
      <c r="N275" s="281"/>
      <c r="P275" s="42" t="s">
        <v>305</v>
      </c>
    </row>
    <row r="276" spans="1:16">
      <c r="A276" s="393">
        <v>232</v>
      </c>
      <c r="B276" s="388" t="s">
        <v>123</v>
      </c>
      <c r="C276" s="388" t="s">
        <v>306</v>
      </c>
      <c r="D276" s="389">
        <f t="shared" si="12"/>
        <v>2021</v>
      </c>
      <c r="E276" s="390">
        <f>ארנונה!$O$10</f>
        <v>1216.0999999999999</v>
      </c>
      <c r="F276" s="391"/>
      <c r="G276" s="392"/>
      <c r="H276" s="454"/>
      <c r="I276" s="390"/>
      <c r="J276" s="337" t="str">
        <f>IF(OR(ארנונה!$C$10=0,ארנונה!$O$10&lt;&gt;0),$B$3,"")</f>
        <v>תקין</v>
      </c>
      <c r="K276" s="545"/>
      <c r="L276" s="339" t="str">
        <f>IF(OR(ארנונה!$C$10=0,ארנונה!$O$10&lt;&gt;0),"",P276)</f>
        <v/>
      </c>
      <c r="M276" s="557"/>
      <c r="N276" s="281"/>
      <c r="P276" s="42" t="s">
        <v>307</v>
      </c>
    </row>
    <row r="277" spans="1:16">
      <c r="A277" s="393">
        <v>233</v>
      </c>
      <c r="B277" s="388" t="s">
        <v>123</v>
      </c>
      <c r="C277" s="388" t="s">
        <v>308</v>
      </c>
      <c r="D277" s="389">
        <f t="shared" si="12"/>
        <v>2021</v>
      </c>
      <c r="E277" s="390">
        <f>ארנונה!$O$11</f>
        <v>4273.3</v>
      </c>
      <c r="F277" s="391"/>
      <c r="G277" s="392"/>
      <c r="H277" s="454"/>
      <c r="I277" s="390"/>
      <c r="J277" s="337" t="str">
        <f>IF(OR(ארנונה!$C$11=0,ארנונה!$O$11&lt;&gt;0),$B$3,"")</f>
        <v>תקין</v>
      </c>
      <c r="K277" s="545"/>
      <c r="L277" s="339" t="str">
        <f>IF(OR(ארנונה!$C$11=0,ארנונה!$O$11&lt;&gt;0),"",P277)</f>
        <v/>
      </c>
      <c r="M277" s="557"/>
      <c r="N277" s="281"/>
      <c r="P277" s="42" t="s">
        <v>309</v>
      </c>
    </row>
    <row r="278" spans="1:16">
      <c r="A278" s="393">
        <v>234</v>
      </c>
      <c r="B278" s="388" t="s">
        <v>123</v>
      </c>
      <c r="C278" s="388" t="s">
        <v>310</v>
      </c>
      <c r="D278" s="389">
        <f t="shared" si="12"/>
        <v>2021</v>
      </c>
      <c r="E278" s="390">
        <f>ארנונה!$O$12</f>
        <v>0</v>
      </c>
      <c r="F278" s="391"/>
      <c r="G278" s="392"/>
      <c r="H278" s="454"/>
      <c r="I278" s="390"/>
      <c r="J278" s="337" t="str">
        <f>IF(OR(ארנונה!$C$12=0,ארנונה!$O$12&lt;&gt;0),$B$3,"")</f>
        <v>תקין</v>
      </c>
      <c r="K278" s="545"/>
      <c r="L278" s="339" t="str">
        <f>IF(OR(ארנונה!$C$12=0,ארנונה!$O$12&lt;&gt;0),"",P278)</f>
        <v/>
      </c>
      <c r="M278" s="557"/>
      <c r="N278" s="281"/>
      <c r="P278" s="42" t="s">
        <v>311</v>
      </c>
    </row>
    <row r="279" spans="1:16">
      <c r="A279" s="393">
        <v>235</v>
      </c>
      <c r="B279" s="388" t="s">
        <v>123</v>
      </c>
      <c r="C279" s="388" t="s">
        <v>312</v>
      </c>
      <c r="D279" s="389">
        <f t="shared" si="12"/>
        <v>2021</v>
      </c>
      <c r="E279" s="390">
        <f>ארנונה!$O$13</f>
        <v>6958.6</v>
      </c>
      <c r="F279" s="391"/>
      <c r="G279" s="392"/>
      <c r="H279" s="454"/>
      <c r="I279" s="390"/>
      <c r="J279" s="337" t="str">
        <f>IF(OR(ארנונה!$C$13=0,ארנונה!$O$13&lt;&gt;0),$B$3,"")</f>
        <v>תקין</v>
      </c>
      <c r="K279" s="545"/>
      <c r="L279" s="339" t="str">
        <f>IF(OR(ארנונה!$C$13=0,ארנונה!$O$13&lt;&gt;0),"",P279)</f>
        <v/>
      </c>
      <c r="M279" s="557"/>
      <c r="N279" s="281"/>
      <c r="P279" s="42" t="s">
        <v>313</v>
      </c>
    </row>
    <row r="280" spans="1:16">
      <c r="A280" s="393">
        <v>236</v>
      </c>
      <c r="B280" s="388" t="s">
        <v>123</v>
      </c>
      <c r="C280" s="388" t="s">
        <v>314</v>
      </c>
      <c r="D280" s="389">
        <f t="shared" si="12"/>
        <v>2021</v>
      </c>
      <c r="E280" s="390">
        <f>ארנונה!$O$14</f>
        <v>0</v>
      </c>
      <c r="F280" s="391"/>
      <c r="G280" s="392"/>
      <c r="H280" s="454"/>
      <c r="I280" s="390"/>
      <c r="J280" s="337" t="str">
        <f>IF(OR(ארנונה!$C$14=0,ארנונה!$O$14&lt;&gt;0),$B$3,"")</f>
        <v>תקין</v>
      </c>
      <c r="K280" s="545"/>
      <c r="L280" s="339" t="str">
        <f>IF(OR(ארנונה!$C$14=0,ארנונה!$O$14&lt;&gt;0),"",P280)</f>
        <v/>
      </c>
      <c r="M280" s="557"/>
      <c r="N280" s="281"/>
      <c r="P280" s="42" t="s">
        <v>315</v>
      </c>
    </row>
    <row r="281" spans="1:16">
      <c r="A281" s="393">
        <v>237</v>
      </c>
      <c r="B281" s="388" t="s">
        <v>123</v>
      </c>
      <c r="C281" s="388" t="s">
        <v>316</v>
      </c>
      <c r="D281" s="389">
        <f t="shared" si="12"/>
        <v>2021</v>
      </c>
      <c r="E281" s="390">
        <f>ארנונה!$O$15</f>
        <v>3528.2</v>
      </c>
      <c r="F281" s="391"/>
      <c r="G281" s="392"/>
      <c r="H281" s="454"/>
      <c r="I281" s="390"/>
      <c r="J281" s="337" t="str">
        <f>IF(OR(ארנונה!$C$15=0,ארנונה!$O$15&lt;&gt;0),$B$3,"")</f>
        <v>תקין</v>
      </c>
      <c r="K281" s="545"/>
      <c r="L281" s="339" t="str">
        <f>IF(OR(ארנונה!$C$15=0,ארנונה!$O$15&lt;&gt;0),"",P281)</f>
        <v/>
      </c>
      <c r="M281" s="557"/>
      <c r="N281" s="281"/>
      <c r="P281" s="42" t="s">
        <v>317</v>
      </c>
    </row>
    <row r="282" spans="1:16">
      <c r="A282" s="393">
        <v>238</v>
      </c>
      <c r="B282" s="388" t="s">
        <v>123</v>
      </c>
      <c r="C282" s="388" t="s">
        <v>318</v>
      </c>
      <c r="D282" s="389">
        <f t="shared" si="12"/>
        <v>2021</v>
      </c>
      <c r="E282" s="390">
        <f>ארנונה!$O$16</f>
        <v>0</v>
      </c>
      <c r="F282" s="391"/>
      <c r="G282" s="392"/>
      <c r="H282" s="454"/>
      <c r="I282" s="390"/>
      <c r="J282" s="337" t="str">
        <f>IF(OR(ארנונה!$C$16=0,ארנונה!$O$16&lt;&gt;0),$B$3,"")</f>
        <v>תקין</v>
      </c>
      <c r="K282" s="545"/>
      <c r="L282" s="339" t="str">
        <f>IF(OR(ארנונה!$C$16=0,ארנונה!$O$16&lt;&gt;0),"",P282)</f>
        <v/>
      </c>
      <c r="M282" s="557"/>
      <c r="N282" s="281"/>
      <c r="P282" s="42" t="s">
        <v>319</v>
      </c>
    </row>
    <row r="283" spans="1:16">
      <c r="A283" s="393">
        <v>239</v>
      </c>
      <c r="B283" s="384" t="s">
        <v>123</v>
      </c>
      <c r="C283" s="384" t="s">
        <v>320</v>
      </c>
      <c r="D283" s="374">
        <f t="shared" si="12"/>
        <v>2021</v>
      </c>
      <c r="E283" s="385">
        <f>ארנונה!$O$17</f>
        <v>5374.6</v>
      </c>
      <c r="F283" s="386"/>
      <c r="G283" s="387"/>
      <c r="H283" s="453"/>
      <c r="I283" s="385"/>
      <c r="J283" s="306" t="str">
        <f>IF(OR(ארנונה!$C$17=0,ארנונה!$O$17&lt;&gt;0),$B$3,"")</f>
        <v>תקין</v>
      </c>
      <c r="K283" s="536"/>
      <c r="L283" s="313" t="str">
        <f>IF(OR(ארנונה!$C$17=0,ארנונה!$O$17&lt;&gt;0),"",P283)</f>
        <v/>
      </c>
      <c r="M283" s="556"/>
      <c r="N283" s="281"/>
      <c r="P283" s="42" t="s">
        <v>321</v>
      </c>
    </row>
    <row r="284" spans="1:16" ht="13.5" customHeight="1">
      <c r="A284" s="393">
        <v>240</v>
      </c>
      <c r="B284" s="384" t="s">
        <v>123</v>
      </c>
      <c r="C284" s="384" t="s">
        <v>322</v>
      </c>
      <c r="D284" s="374">
        <f t="shared" si="12"/>
        <v>2021</v>
      </c>
      <c r="E284" s="385">
        <f>ארנונה!$O$18</f>
        <v>2164.5</v>
      </c>
      <c r="F284" s="386"/>
      <c r="G284" s="387"/>
      <c r="H284" s="453"/>
      <c r="I284" s="385"/>
      <c r="J284" s="306" t="str">
        <f>IF(OR(ארנונה!$C$18=0,ארנונה!$O$18&lt;&gt;0),$B$3,"")</f>
        <v>תקין</v>
      </c>
      <c r="K284" s="536"/>
      <c r="L284" s="313" t="str">
        <f>IF(OR(ארנונה!C$18=0,ארנונה!$O$18&lt;&gt;0),"",P284)</f>
        <v/>
      </c>
      <c r="M284" s="556"/>
      <c r="N284" s="281"/>
      <c r="P284" s="42" t="s">
        <v>323</v>
      </c>
    </row>
    <row r="285" spans="1:16" ht="37.5" customHeight="1">
      <c r="A285" s="393">
        <v>241</v>
      </c>
      <c r="B285" s="379" t="s">
        <v>123</v>
      </c>
      <c r="C285" s="379" t="s">
        <v>324</v>
      </c>
      <c r="D285" s="374">
        <f t="shared" si="12"/>
        <v>2021</v>
      </c>
      <c r="E285" s="380">
        <f>ארנונה!$O$22</f>
        <v>0</v>
      </c>
      <c r="F285" s="381"/>
      <c r="G285" s="382"/>
      <c r="H285" s="453"/>
      <c r="I285" s="380"/>
      <c r="J285" s="311" t="str">
        <f>IF(OR(ארנונה!$C$22=0,ארנונה!$O$22&lt;&gt;0),$B$3,"")</f>
        <v>תקין</v>
      </c>
      <c r="K285" s="536"/>
      <c r="L285" s="312" t="str">
        <f>IF(OR(ארנונה!C$22=0,ארנונה!$O$22&lt;&gt;0),"",P285)</f>
        <v/>
      </c>
      <c r="M285" s="571"/>
      <c r="N285" s="281"/>
      <c r="P285" s="42" t="s">
        <v>325</v>
      </c>
    </row>
    <row r="286" spans="1:16" ht="12" customHeight="1">
      <c r="A286" s="378"/>
      <c r="B286" s="379"/>
      <c r="C286" s="379"/>
      <c r="D286" s="374"/>
      <c r="E286" s="380"/>
      <c r="F286" s="381"/>
      <c r="G286" s="382"/>
      <c r="H286" s="453"/>
      <c r="I286" s="380"/>
      <c r="J286" s="311"/>
      <c r="K286" s="536"/>
      <c r="L286" s="312"/>
      <c r="M286" s="571"/>
      <c r="N286" s="281"/>
    </row>
    <row r="287" spans="1:16" ht="12.75" customHeight="1">
      <c r="A287" s="378"/>
      <c r="B287" s="379"/>
      <c r="C287" s="379"/>
      <c r="D287" s="374"/>
      <c r="E287" s="380"/>
      <c r="F287" s="381"/>
      <c r="G287" s="382"/>
      <c r="H287" s="453"/>
      <c r="I287" s="380"/>
      <c r="J287" s="311"/>
      <c r="K287" s="536"/>
      <c r="L287" s="312"/>
      <c r="M287" s="571"/>
      <c r="N287" s="281"/>
    </row>
    <row r="288" spans="1:16" ht="27.75" customHeight="1">
      <c r="A288" s="378">
        <v>242</v>
      </c>
      <c r="B288" s="379" t="s">
        <v>123</v>
      </c>
      <c r="C288" s="379" t="s">
        <v>326</v>
      </c>
      <c r="D288" s="374">
        <f t="shared" ref="D288:D301" si="13">$F$3</f>
        <v>2021</v>
      </c>
      <c r="E288" s="380">
        <f>ארנונה!$C$6</f>
        <v>4403714</v>
      </c>
      <c r="F288" s="381"/>
      <c r="G288" s="382"/>
      <c r="H288" s="453"/>
      <c r="I288" s="380"/>
      <c r="J288" s="311" t="str">
        <f>IF(OR(ארנונה!$O$6=0,ארנונה!$C$6&lt;&gt;0),$B$3,"")</f>
        <v>תקין</v>
      </c>
      <c r="K288" s="536"/>
      <c r="L288" s="312" t="str">
        <f>IF(OR(ארנונה!$O$6=0,ארנונה!$C$6&lt;&gt;0),"",P288)</f>
        <v/>
      </c>
      <c r="M288" s="571"/>
      <c r="N288" s="281"/>
      <c r="P288" s="42" t="s">
        <v>327</v>
      </c>
    </row>
    <row r="289" spans="1:16" ht="27.75" customHeight="1">
      <c r="A289" s="378">
        <v>243</v>
      </c>
      <c r="B289" s="379" t="s">
        <v>123</v>
      </c>
      <c r="C289" s="379" t="s">
        <v>328</v>
      </c>
      <c r="D289" s="374">
        <f t="shared" si="13"/>
        <v>2021</v>
      </c>
      <c r="E289" s="380">
        <f>ארנונה!$C$7</f>
        <v>320992</v>
      </c>
      <c r="F289" s="381"/>
      <c r="G289" s="382"/>
      <c r="H289" s="453"/>
      <c r="I289" s="380"/>
      <c r="J289" s="311" t="str">
        <f>IF(OR(ארנונה!$O$7=0,ארנונה!$C$7&lt;&gt;0),$B$3,"")</f>
        <v>תקין</v>
      </c>
      <c r="K289" s="536"/>
      <c r="L289" s="312" t="str">
        <f>IF(OR(ארנונה!$O$7=0,ארנונה!$C$7&lt;&gt;0),"",P289)</f>
        <v/>
      </c>
      <c r="M289" s="571"/>
      <c r="N289" s="281"/>
      <c r="P289" s="42" t="s">
        <v>329</v>
      </c>
    </row>
    <row r="290" spans="1:16" ht="27.75" customHeight="1">
      <c r="A290" s="378">
        <v>244</v>
      </c>
      <c r="B290" s="379" t="s">
        <v>123</v>
      </c>
      <c r="C290" s="379" t="s">
        <v>330</v>
      </c>
      <c r="D290" s="374">
        <f t="shared" si="13"/>
        <v>2021</v>
      </c>
      <c r="E290" s="380">
        <f>ארנונה!$C$8</f>
        <v>6997</v>
      </c>
      <c r="F290" s="381"/>
      <c r="G290" s="382"/>
      <c r="H290" s="453"/>
      <c r="I290" s="380"/>
      <c r="J290" s="311" t="str">
        <f>IF(OR(ארנונה!$O$8=0,ארנונה!$C$8&lt;&gt;0),$B$3,"")</f>
        <v>תקין</v>
      </c>
      <c r="K290" s="536"/>
      <c r="L290" s="312" t="str">
        <f>IF(OR(ארנונה!$O$8=0,ארנונה!$C$8&lt;&gt;0),"",P290)</f>
        <v/>
      </c>
      <c r="M290" s="571"/>
      <c r="N290" s="281"/>
      <c r="P290" s="42" t="s">
        <v>331</v>
      </c>
    </row>
    <row r="291" spans="1:16" ht="27.75" customHeight="1">
      <c r="A291" s="378">
        <v>245</v>
      </c>
      <c r="B291" s="379" t="s">
        <v>123</v>
      </c>
      <c r="C291" s="379" t="s">
        <v>332</v>
      </c>
      <c r="D291" s="374">
        <f t="shared" si="13"/>
        <v>2021</v>
      </c>
      <c r="E291" s="380">
        <f>ארנונה!$C$9</f>
        <v>182603</v>
      </c>
      <c r="F291" s="381"/>
      <c r="G291" s="382"/>
      <c r="H291" s="453"/>
      <c r="I291" s="380"/>
      <c r="J291" s="311" t="str">
        <f>IF(OR(ארנונה!$O$9=0,ארנונה!$C$9&lt;&gt;0),$B$3,"")</f>
        <v>תקין</v>
      </c>
      <c r="K291" s="536"/>
      <c r="L291" s="312" t="str">
        <f>IF(OR(ארנונה!$O$9=0,ארנונה!$C$9&lt;&gt;0),"",P291)</f>
        <v/>
      </c>
      <c r="M291" s="571"/>
      <c r="N291" s="281"/>
      <c r="P291" s="42" t="s">
        <v>333</v>
      </c>
    </row>
    <row r="292" spans="1:16" ht="27.75" customHeight="1">
      <c r="A292" s="378">
        <v>246</v>
      </c>
      <c r="B292" s="379" t="s">
        <v>123</v>
      </c>
      <c r="C292" s="379" t="s">
        <v>334</v>
      </c>
      <c r="D292" s="374">
        <f t="shared" si="13"/>
        <v>2021</v>
      </c>
      <c r="E292" s="380">
        <f>ארנונה!$C$10</f>
        <v>13651</v>
      </c>
      <c r="F292" s="381"/>
      <c r="G292" s="382"/>
      <c r="H292" s="453"/>
      <c r="I292" s="380"/>
      <c r="J292" s="311" t="str">
        <f>IF(OR(ארנונה!$O$10=0,ארנונה!$C$10&lt;&gt;0),$B$3,"")</f>
        <v>תקין</v>
      </c>
      <c r="K292" s="536"/>
      <c r="L292" s="312" t="str">
        <f>IF(OR(ארנונה!$O$10=0,ארנונה!$C$10&lt;&gt;0),"",P292)</f>
        <v/>
      </c>
      <c r="M292" s="571"/>
      <c r="N292" s="281"/>
      <c r="P292" s="42" t="s">
        <v>335</v>
      </c>
    </row>
    <row r="293" spans="1:16" ht="27.75" customHeight="1">
      <c r="A293" s="378">
        <v>247</v>
      </c>
      <c r="B293" s="379" t="s">
        <v>123</v>
      </c>
      <c r="C293" s="379" t="s">
        <v>336</v>
      </c>
      <c r="D293" s="374">
        <f t="shared" si="13"/>
        <v>2021</v>
      </c>
      <c r="E293" s="380">
        <f>ארנונה!$C$11</f>
        <v>16203</v>
      </c>
      <c r="F293" s="381"/>
      <c r="G293" s="382"/>
      <c r="H293" s="453"/>
      <c r="I293" s="380"/>
      <c r="J293" s="311" t="str">
        <f>IF(OR(ארנונה!$O$11=0,ארנונה!$C$11&lt;&gt;0),$B$3,"")</f>
        <v>תקין</v>
      </c>
      <c r="K293" s="536"/>
      <c r="L293" s="312" t="str">
        <f>IF(OR(ארנונה!$O$11=0,ארנונה!$C$11&lt;&gt;0),"",P293)</f>
        <v/>
      </c>
      <c r="M293" s="571"/>
      <c r="N293" s="281"/>
      <c r="P293" s="42" t="s">
        <v>337</v>
      </c>
    </row>
    <row r="294" spans="1:16" ht="27.75" customHeight="1">
      <c r="A294" s="378">
        <v>248</v>
      </c>
      <c r="B294" s="379" t="s">
        <v>123</v>
      </c>
      <c r="C294" s="379" t="s">
        <v>338</v>
      </c>
      <c r="D294" s="374">
        <f t="shared" si="13"/>
        <v>2021</v>
      </c>
      <c r="E294" s="380">
        <f>ארנונה!$C$12</f>
        <v>0</v>
      </c>
      <c r="F294" s="381"/>
      <c r="G294" s="382"/>
      <c r="H294" s="453"/>
      <c r="I294" s="380"/>
      <c r="J294" s="311" t="str">
        <f>IF(OR(ארנונה!$O$12=0,ארנונה!$C$12&lt;&gt;0),$B$3,"")</f>
        <v>תקין</v>
      </c>
      <c r="K294" s="536"/>
      <c r="L294" s="312" t="str">
        <f>IF(OR(ארנונה!$O$12=0,ארנונה!$C$12&lt;&gt;0),"",P294)</f>
        <v/>
      </c>
      <c r="M294" s="571"/>
      <c r="N294" s="281"/>
      <c r="P294" s="42" t="s">
        <v>339</v>
      </c>
    </row>
    <row r="295" spans="1:16" ht="27.75" customHeight="1">
      <c r="A295" s="378">
        <v>249</v>
      </c>
      <c r="B295" s="379" t="s">
        <v>123</v>
      </c>
      <c r="C295" s="379" t="s">
        <v>340</v>
      </c>
      <c r="D295" s="374">
        <f t="shared" si="13"/>
        <v>2021</v>
      </c>
      <c r="E295" s="380">
        <f>ארנונה!$C$13</f>
        <v>201162</v>
      </c>
      <c r="F295" s="381"/>
      <c r="G295" s="382"/>
      <c r="H295" s="453"/>
      <c r="I295" s="380"/>
      <c r="J295" s="311" t="str">
        <f>IF(OR(ארנונה!$O$13=0,ארנונה!$C$13&lt;&gt;0),$B$3,"")</f>
        <v>תקין</v>
      </c>
      <c r="K295" s="536"/>
      <c r="L295" s="312" t="str">
        <f>IF(OR(ארנונה!$O$13=0,ארנונה!$C$13&lt;&gt;0),"",P295)</f>
        <v/>
      </c>
      <c r="M295" s="571"/>
      <c r="N295" s="281"/>
      <c r="P295" s="42" t="s">
        <v>341</v>
      </c>
    </row>
    <row r="296" spans="1:16" ht="27.75" customHeight="1">
      <c r="A296" s="378">
        <v>250</v>
      </c>
      <c r="B296" s="379" t="s">
        <v>123</v>
      </c>
      <c r="C296" s="379" t="s">
        <v>342</v>
      </c>
      <c r="D296" s="374">
        <f t="shared" si="13"/>
        <v>2021</v>
      </c>
      <c r="E296" s="380">
        <f>ארנונה!$C$14</f>
        <v>0</v>
      </c>
      <c r="F296" s="381"/>
      <c r="G296" s="382"/>
      <c r="H296" s="453"/>
      <c r="I296" s="380"/>
      <c r="J296" s="311" t="str">
        <f>IF(OR(ארנונה!$O$14=0,ארנונה!$C$14&lt;&gt;0),$B$3,"")</f>
        <v>תקין</v>
      </c>
      <c r="K296" s="536"/>
      <c r="L296" s="312" t="str">
        <f>IF(OR(ארנונה!$O$14=0,ארנונה!$C$14&lt;&gt;0),"",P296)</f>
        <v/>
      </c>
      <c r="M296" s="571"/>
      <c r="N296" s="281"/>
      <c r="P296" s="42" t="s">
        <v>343</v>
      </c>
    </row>
    <row r="297" spans="1:16" ht="27.75" customHeight="1">
      <c r="A297" s="378">
        <v>251</v>
      </c>
      <c r="B297" s="379" t="s">
        <v>123</v>
      </c>
      <c r="C297" s="379" t="s">
        <v>344</v>
      </c>
      <c r="D297" s="374">
        <f t="shared" si="13"/>
        <v>2021</v>
      </c>
      <c r="E297" s="380">
        <f>ארנונה!$C$15</f>
        <v>135850</v>
      </c>
      <c r="F297" s="381"/>
      <c r="G297" s="382"/>
      <c r="H297" s="453"/>
      <c r="I297" s="380"/>
      <c r="J297" s="311" t="str">
        <f>IF(OR(ארנונה!$O$15=0,ארנונה!$C$15&lt;&gt;0),$B$3,"")</f>
        <v>תקין</v>
      </c>
      <c r="K297" s="536"/>
      <c r="L297" s="312" t="str">
        <f>IF(OR(ארנונה!$O$15=0,ארנונה!$C$15&lt;&gt;0),"",P297)</f>
        <v/>
      </c>
      <c r="M297" s="571"/>
      <c r="N297" s="281"/>
      <c r="P297" s="42" t="s">
        <v>345</v>
      </c>
    </row>
    <row r="298" spans="1:16" ht="27.75" customHeight="1">
      <c r="A298" s="378">
        <v>252</v>
      </c>
      <c r="B298" s="379" t="s">
        <v>123</v>
      </c>
      <c r="C298" s="379" t="s">
        <v>346</v>
      </c>
      <c r="D298" s="374">
        <f t="shared" si="13"/>
        <v>2021</v>
      </c>
      <c r="E298" s="380">
        <f>ארנונה!$C$16</f>
        <v>0</v>
      </c>
      <c r="F298" s="381"/>
      <c r="G298" s="382"/>
      <c r="H298" s="453"/>
      <c r="I298" s="380"/>
      <c r="J298" s="311" t="str">
        <f>IF(OR(ארנונה!$O$16=0,ארנונה!$C$16&lt;&gt;0),$B$3,"")</f>
        <v>תקין</v>
      </c>
      <c r="K298" s="536"/>
      <c r="L298" s="312" t="str">
        <f>IF(OR(ארנונה!$O$16=0,ארנונה!$C$16&lt;&gt;0),"",P298)</f>
        <v/>
      </c>
      <c r="M298" s="571"/>
      <c r="N298" s="281"/>
      <c r="P298" s="42" t="s">
        <v>347</v>
      </c>
    </row>
    <row r="299" spans="1:16" ht="27.75" customHeight="1">
      <c r="A299" s="378">
        <v>253</v>
      </c>
      <c r="B299" s="379" t="s">
        <v>123</v>
      </c>
      <c r="C299" s="379" t="s">
        <v>348</v>
      </c>
      <c r="D299" s="374">
        <f t="shared" si="13"/>
        <v>2021</v>
      </c>
      <c r="E299" s="380">
        <f>ארנונה!$C$17</f>
        <v>78305</v>
      </c>
      <c r="F299" s="381"/>
      <c r="G299" s="382"/>
      <c r="H299" s="453"/>
      <c r="I299" s="380"/>
      <c r="J299" s="311" t="str">
        <f>IF(OR(ארנונה!$O$17=0,ארנונה!$C$17&lt;&gt;0),$B$3,"")</f>
        <v>תקין</v>
      </c>
      <c r="K299" s="536"/>
      <c r="L299" s="312" t="str">
        <f>IF(OR(ארנונה!$O$17=0,ארנונה!$C$17&lt;&gt;0),"",P299)</f>
        <v/>
      </c>
      <c r="M299" s="571"/>
      <c r="N299" s="281"/>
      <c r="P299" s="42" t="s">
        <v>349</v>
      </c>
    </row>
    <row r="300" spans="1:16" ht="27.75" customHeight="1">
      <c r="A300" s="378">
        <v>254</v>
      </c>
      <c r="B300" s="379" t="s">
        <v>123</v>
      </c>
      <c r="C300" s="379" t="s">
        <v>350</v>
      </c>
      <c r="D300" s="374">
        <f t="shared" si="13"/>
        <v>2021</v>
      </c>
      <c r="E300" s="380">
        <f>ארנונה!$C$18</f>
        <v>7456</v>
      </c>
      <c r="F300" s="381"/>
      <c r="G300" s="382"/>
      <c r="H300" s="453"/>
      <c r="I300" s="380"/>
      <c r="J300" s="311" t="str">
        <f>IF(OR(ארנונה!$O$18=0,ארנונה!$C$18&lt;&gt;0),$B$3,"")</f>
        <v>תקין</v>
      </c>
      <c r="K300" s="536"/>
      <c r="L300" s="312" t="str">
        <f>IF(OR(ארנונה!$O$18=0,ארנונה!$C$18&lt;&gt;0),"",P300)</f>
        <v/>
      </c>
      <c r="M300" s="571"/>
      <c r="N300" s="281"/>
      <c r="P300" s="42" t="s">
        <v>351</v>
      </c>
    </row>
    <row r="301" spans="1:16" ht="38.25" customHeight="1">
      <c r="A301" s="378">
        <v>255</v>
      </c>
      <c r="B301" s="379" t="s">
        <v>123</v>
      </c>
      <c r="C301" s="379" t="s">
        <v>352</v>
      </c>
      <c r="D301" s="374">
        <f t="shared" si="13"/>
        <v>2021</v>
      </c>
      <c r="E301" s="380">
        <f>ארנונה!$C$22</f>
        <v>0</v>
      </c>
      <c r="F301" s="381"/>
      <c r="G301" s="382"/>
      <c r="H301" s="453"/>
      <c r="I301" s="380"/>
      <c r="J301" s="311" t="str">
        <f>IF(OR(ארנונה!$O$22=0,ארנונה!$C$22&lt;&gt;0),$B$3,"")</f>
        <v>תקין</v>
      </c>
      <c r="K301" s="536"/>
      <c r="L301" s="312" t="str">
        <f>IF(OR(ארנונה!$O$22=0,ארנונה!$C$22&lt;&gt;0),"",P301)</f>
        <v/>
      </c>
      <c r="M301" s="571"/>
      <c r="N301" s="281"/>
      <c r="P301" s="42" t="s">
        <v>353</v>
      </c>
    </row>
    <row r="302" spans="1:16" ht="13.5" customHeight="1">
      <c r="A302" s="378"/>
      <c r="B302" s="379"/>
      <c r="C302" s="379"/>
      <c r="D302" s="374"/>
      <c r="E302" s="380"/>
      <c r="F302" s="381"/>
      <c r="G302" s="382"/>
      <c r="H302" s="453"/>
      <c r="I302" s="380"/>
      <c r="J302" s="311"/>
      <c r="K302" s="536"/>
      <c r="L302" s="312"/>
      <c r="M302" s="571"/>
      <c r="N302" s="281"/>
    </row>
    <row r="303" spans="1:16" ht="27.75" customHeight="1">
      <c r="A303" s="378">
        <v>256</v>
      </c>
      <c r="B303" s="379" t="s">
        <v>123</v>
      </c>
      <c r="C303" s="379" t="s">
        <v>214</v>
      </c>
      <c r="D303" s="374">
        <f t="shared" ref="D303:D316" si="14">$F$3</f>
        <v>2021</v>
      </c>
      <c r="E303" s="380">
        <f>ארנונה!$E$6</f>
        <v>65.95</v>
      </c>
      <c r="F303" s="381"/>
      <c r="G303" s="382"/>
      <c r="H303" s="453"/>
      <c r="I303" s="380"/>
      <c r="J303" s="311" t="str">
        <f>IF(OR(ארנונה!$O$6=0,ארנונה!$E$6&lt;&gt;0),$B$3,"")</f>
        <v>תקין</v>
      </c>
      <c r="K303" s="536"/>
      <c r="L303" s="312" t="str">
        <f>IF(OR(ארנונה!$O$6=0,ארנונה!$E$6&lt;&gt;0),"",P303)</f>
        <v/>
      </c>
      <c r="M303" s="571"/>
      <c r="N303" s="281"/>
      <c r="P303" s="42" t="s">
        <v>215</v>
      </c>
    </row>
    <row r="304" spans="1:16" ht="27.75" customHeight="1">
      <c r="A304" s="378">
        <v>257</v>
      </c>
      <c r="B304" s="379" t="s">
        <v>123</v>
      </c>
      <c r="C304" s="379" t="s">
        <v>216</v>
      </c>
      <c r="D304" s="374">
        <f t="shared" si="14"/>
        <v>2021</v>
      </c>
      <c r="E304" s="380">
        <f>ארנונה!$E$7</f>
        <v>367.26</v>
      </c>
      <c r="F304" s="381"/>
      <c r="G304" s="382"/>
      <c r="H304" s="453"/>
      <c r="I304" s="380"/>
      <c r="J304" s="311" t="str">
        <f>IF(OR(ארנונה!$O$7=0,ארנונה!$E$7&lt;&gt;0),$B$3,"")</f>
        <v>תקין</v>
      </c>
      <c r="K304" s="536"/>
      <c r="L304" s="312" t="str">
        <f>IF(OR(ארנונה!$O$7=0,ארנונה!$E$7&lt;&gt;0),"",P304)</f>
        <v/>
      </c>
      <c r="M304" s="571"/>
      <c r="N304" s="281"/>
      <c r="P304" s="42" t="s">
        <v>217</v>
      </c>
    </row>
    <row r="305" spans="1:16" ht="27.75" customHeight="1">
      <c r="A305" s="378">
        <v>258</v>
      </c>
      <c r="B305" s="379" t="s">
        <v>123</v>
      </c>
      <c r="C305" s="379" t="s">
        <v>218</v>
      </c>
      <c r="D305" s="374">
        <f t="shared" si="14"/>
        <v>2021</v>
      </c>
      <c r="E305" s="380">
        <f>ארנונה!$E$8</f>
        <v>1442.2752608260682</v>
      </c>
      <c r="F305" s="381"/>
      <c r="G305" s="382"/>
      <c r="H305" s="453"/>
      <c r="I305" s="380"/>
      <c r="J305" s="311" t="str">
        <f>IF(OR(ארנונה!$O$8=0,ארנונה!$E$8&lt;&gt;0),$B$3,"")</f>
        <v>תקין</v>
      </c>
      <c r="K305" s="536"/>
      <c r="L305" s="312" t="str">
        <f>IF(OR(ארנונה!$O$8=0,ארנונה!$E$8&lt;&gt;0),"",P305)</f>
        <v/>
      </c>
      <c r="M305" s="571"/>
      <c r="N305" s="281"/>
      <c r="P305" s="42" t="s">
        <v>219</v>
      </c>
    </row>
    <row r="306" spans="1:16" ht="27.75" customHeight="1">
      <c r="A306" s="378">
        <v>259</v>
      </c>
      <c r="B306" s="379" t="s">
        <v>123</v>
      </c>
      <c r="C306" s="379" t="s">
        <v>220</v>
      </c>
      <c r="D306" s="374">
        <f t="shared" si="14"/>
        <v>2021</v>
      </c>
      <c r="E306" s="380">
        <f>ארנונה!$E$9</f>
        <v>172.52</v>
      </c>
      <c r="F306" s="381"/>
      <c r="G306" s="382"/>
      <c r="H306" s="453"/>
      <c r="I306" s="380"/>
      <c r="J306" s="311" t="str">
        <f>IF(OR(ארנונה!$O$9=0,ארנונה!$E$9&lt;&gt;0),$B$3,"")</f>
        <v>תקין</v>
      </c>
      <c r="K306" s="536"/>
      <c r="L306" s="312" t="str">
        <f>IF(OR(ארנונה!$O$9=0,ארנונה!$E$9&lt;&gt;0),"",P306)</f>
        <v/>
      </c>
      <c r="M306" s="571"/>
      <c r="N306" s="281"/>
      <c r="P306" s="42" t="s">
        <v>221</v>
      </c>
    </row>
    <row r="307" spans="1:16" ht="27.75" customHeight="1">
      <c r="A307" s="378">
        <v>260</v>
      </c>
      <c r="B307" s="379" t="s">
        <v>123</v>
      </c>
      <c r="C307" s="379" t="s">
        <v>222</v>
      </c>
      <c r="D307" s="374">
        <f t="shared" si="14"/>
        <v>2021</v>
      </c>
      <c r="E307" s="380">
        <f>ארנונה!$E$10</f>
        <v>91.62</v>
      </c>
      <c r="F307" s="381"/>
      <c r="G307" s="382"/>
      <c r="H307" s="453"/>
      <c r="I307" s="380"/>
      <c r="J307" s="311" t="str">
        <f>IF(OR(ארנונה!$O$10=0,ארנונה!$E$10&lt;&gt;0),$B$3,"")</f>
        <v>תקין</v>
      </c>
      <c r="K307" s="536"/>
      <c r="L307" s="312" t="str">
        <f>IF(OR(ארנונה!$O$10=0,ארנונה!$E$10&lt;&gt;0),"",P307)</f>
        <v/>
      </c>
      <c r="M307" s="571"/>
      <c r="N307" s="281"/>
      <c r="P307" s="42" t="s">
        <v>223</v>
      </c>
    </row>
    <row r="308" spans="1:16" ht="27.75" customHeight="1">
      <c r="A308" s="378">
        <v>261</v>
      </c>
      <c r="B308" s="379" t="s">
        <v>123</v>
      </c>
      <c r="C308" s="379" t="s">
        <v>224</v>
      </c>
      <c r="D308" s="374">
        <f t="shared" si="14"/>
        <v>2021</v>
      </c>
      <c r="E308" s="380">
        <f>ארנונה!$E$11</f>
        <v>386.66</v>
      </c>
      <c r="F308" s="381"/>
      <c r="G308" s="382"/>
      <c r="H308" s="453"/>
      <c r="I308" s="380"/>
      <c r="J308" s="311" t="str">
        <f>IF(OR(ארנונה!$O$11=0,ארנונה!$E$11&lt;&gt;0),$B$3,"")</f>
        <v>תקין</v>
      </c>
      <c r="K308" s="536"/>
      <c r="L308" s="312" t="str">
        <f>IF(OR(ארנונה!$O$11=0,ארנונה!$E$11&lt;&gt;0),"",P308)</f>
        <v/>
      </c>
      <c r="M308" s="571"/>
      <c r="N308" s="281"/>
      <c r="P308" s="42" t="s">
        <v>225</v>
      </c>
    </row>
    <row r="309" spans="1:16" ht="27.75" customHeight="1">
      <c r="A309" s="378">
        <v>262</v>
      </c>
      <c r="B309" s="379" t="s">
        <v>123</v>
      </c>
      <c r="C309" s="379" t="s">
        <v>226</v>
      </c>
      <c r="D309" s="374">
        <f t="shared" si="14"/>
        <v>2021</v>
      </c>
      <c r="E309" s="380">
        <f>ארנונה!$E$12</f>
        <v>0</v>
      </c>
      <c r="F309" s="381"/>
      <c r="G309" s="382"/>
      <c r="H309" s="453"/>
      <c r="I309" s="380"/>
      <c r="J309" s="311" t="str">
        <f>IF(OR(ארנונה!$O$12=0,ארנונה!$E$12&lt;&gt;0),$B$3,"")</f>
        <v>תקין</v>
      </c>
      <c r="K309" s="536"/>
      <c r="L309" s="312" t="str">
        <f>IF(OR(ארנונה!$O$12=0,ארנונה!$E$12&lt;&gt;0),"",P309)</f>
        <v/>
      </c>
      <c r="M309" s="571"/>
      <c r="N309" s="281"/>
      <c r="P309" s="42" t="s">
        <v>227</v>
      </c>
    </row>
    <row r="310" spans="1:16" ht="27.75" customHeight="1">
      <c r="A310" s="378">
        <v>263</v>
      </c>
      <c r="B310" s="379" t="s">
        <v>123</v>
      </c>
      <c r="C310" s="379" t="s">
        <v>228</v>
      </c>
      <c r="D310" s="374">
        <f t="shared" si="14"/>
        <v>2021</v>
      </c>
      <c r="E310" s="380">
        <f>ארנונה!$E$13</f>
        <v>38.76</v>
      </c>
      <c r="F310" s="381"/>
      <c r="G310" s="382"/>
      <c r="H310" s="453"/>
      <c r="I310" s="380"/>
      <c r="J310" s="311" t="str">
        <f>IF(OR(ארנונה!$O$13=0,ארנונה!$E$13&lt;&gt;0),$B$3,"")</f>
        <v>תקין</v>
      </c>
      <c r="K310" s="536"/>
      <c r="L310" s="312" t="str">
        <f>IF(OR(ארנונה!$O$13=0,ארנונה!$E$13&lt;&gt;0),"",P310)</f>
        <v/>
      </c>
      <c r="M310" s="571"/>
      <c r="N310" s="281"/>
      <c r="P310" s="42" t="s">
        <v>229</v>
      </c>
    </row>
    <row r="311" spans="1:16" ht="27.75" customHeight="1">
      <c r="A311" s="378">
        <v>264</v>
      </c>
      <c r="B311" s="379" t="s">
        <v>123</v>
      </c>
      <c r="C311" s="379" t="s">
        <v>230</v>
      </c>
      <c r="D311" s="374">
        <f t="shared" si="14"/>
        <v>2021</v>
      </c>
      <c r="E311" s="380">
        <f>ארנונה!$E$14</f>
        <v>0</v>
      </c>
      <c r="F311" s="381"/>
      <c r="G311" s="382"/>
      <c r="H311" s="453"/>
      <c r="I311" s="380"/>
      <c r="J311" s="311" t="str">
        <f>IF(OR(ארנונה!$O$14=0,ארנונה!$E$14&lt;&gt;0),$B$3,"")</f>
        <v>תקין</v>
      </c>
      <c r="K311" s="536"/>
      <c r="L311" s="312" t="str">
        <f>IF(OR(ארנונה!$O$14=0,ארנונה!$E$14&lt;&gt;0),"",P311)</f>
        <v/>
      </c>
      <c r="M311" s="571"/>
      <c r="N311" s="281"/>
      <c r="P311" s="42" t="s">
        <v>231</v>
      </c>
    </row>
    <row r="312" spans="1:16" ht="27.75" customHeight="1">
      <c r="A312" s="378">
        <v>265</v>
      </c>
      <c r="B312" s="379" t="s">
        <v>123</v>
      </c>
      <c r="C312" s="379" t="s">
        <v>232</v>
      </c>
      <c r="D312" s="374">
        <f t="shared" si="14"/>
        <v>2021</v>
      </c>
      <c r="E312" s="380">
        <f>ארנונה!$E$15</f>
        <v>38.76</v>
      </c>
      <c r="F312" s="381"/>
      <c r="G312" s="382"/>
      <c r="H312" s="453"/>
      <c r="I312" s="380"/>
      <c r="J312" s="311" t="str">
        <f>IF(OR(ארנונה!$O$15=0,ארנונה!$E$15&lt;&gt;0),$B$3,"")</f>
        <v>תקין</v>
      </c>
      <c r="K312" s="536"/>
      <c r="L312" s="312" t="str">
        <f>IF(OR(ארנונה!$O$15=0,ארנונה!$E$15&lt;&gt;0),"",P312)</f>
        <v/>
      </c>
      <c r="M312" s="571"/>
      <c r="N312" s="281"/>
      <c r="P312" s="42" t="s">
        <v>233</v>
      </c>
    </row>
    <row r="313" spans="1:16" ht="27.75" customHeight="1">
      <c r="A313" s="378">
        <v>266</v>
      </c>
      <c r="B313" s="379" t="s">
        <v>123</v>
      </c>
      <c r="C313" s="379" t="s">
        <v>234</v>
      </c>
      <c r="D313" s="374">
        <f t="shared" si="14"/>
        <v>2021</v>
      </c>
      <c r="E313" s="380">
        <f>ארנונה!$E$16</f>
        <v>0</v>
      </c>
      <c r="F313" s="381"/>
      <c r="G313" s="382"/>
      <c r="H313" s="453"/>
      <c r="I313" s="380"/>
      <c r="J313" s="311" t="str">
        <f>IF(OR(ארנונה!$O$16=0,ארנונה!$E$16&lt;&gt;0),$B$3,"")</f>
        <v>תקין</v>
      </c>
      <c r="K313" s="536"/>
      <c r="L313" s="312" t="str">
        <f>IF(OR(ארנונה!$O$16=0,ארנונה!$E$16&lt;&gt;0),"",P313)</f>
        <v/>
      </c>
      <c r="M313" s="571"/>
      <c r="N313" s="281"/>
      <c r="P313" s="42" t="s">
        <v>235</v>
      </c>
    </row>
    <row r="314" spans="1:16" ht="27.75" customHeight="1">
      <c r="A314" s="378">
        <v>267</v>
      </c>
      <c r="B314" s="379" t="s">
        <v>123</v>
      </c>
      <c r="C314" s="379" t="s">
        <v>236</v>
      </c>
      <c r="D314" s="374">
        <f t="shared" si="14"/>
        <v>2021</v>
      </c>
      <c r="E314" s="380">
        <f>ארנונה!$E$17</f>
        <v>68.64</v>
      </c>
      <c r="F314" s="381"/>
      <c r="G314" s="382"/>
      <c r="H314" s="453"/>
      <c r="I314" s="380"/>
      <c r="J314" s="311" t="str">
        <f>IF(OR(ארנונה!$O$17=0,ארנונה!$E$17&lt;&gt;0),$B$3,"")</f>
        <v>תקין</v>
      </c>
      <c r="K314" s="536"/>
      <c r="L314" s="312" t="str">
        <f>IF(OR(ארנונה!$O$17=0,ארנונה!$E$17&lt;&gt;0),"",P314)</f>
        <v/>
      </c>
      <c r="M314" s="571"/>
      <c r="N314" s="281"/>
      <c r="P314" s="42" t="s">
        <v>237</v>
      </c>
    </row>
    <row r="315" spans="1:16" ht="27.75" customHeight="1">
      <c r="A315" s="378">
        <v>268</v>
      </c>
      <c r="B315" s="379" t="s">
        <v>123</v>
      </c>
      <c r="C315" s="379" t="s">
        <v>238</v>
      </c>
      <c r="D315" s="374">
        <f t="shared" si="14"/>
        <v>2021</v>
      </c>
      <c r="E315" s="380">
        <f>ארנונה!$E$18</f>
        <v>317.95999999999998</v>
      </c>
      <c r="F315" s="381"/>
      <c r="G315" s="382"/>
      <c r="H315" s="453"/>
      <c r="I315" s="380"/>
      <c r="J315" s="311" t="str">
        <f>IF(OR(ארנונה!$O$18=0,ארנונה!$E$18&lt;&gt;0),$B$3,"")</f>
        <v>תקין</v>
      </c>
      <c r="K315" s="536"/>
      <c r="L315" s="312" t="str">
        <f>IF(OR(ארנונה!$O$18=0,ארנונה!$E$18&lt;&gt;0),"",P315)</f>
        <v/>
      </c>
      <c r="M315" s="571"/>
      <c r="N315" s="281"/>
      <c r="P315" s="42" t="s">
        <v>239</v>
      </c>
    </row>
    <row r="316" spans="1:16" ht="38.25" customHeight="1">
      <c r="A316" s="378">
        <v>269</v>
      </c>
      <c r="B316" s="379" t="s">
        <v>123</v>
      </c>
      <c r="C316" s="379" t="s">
        <v>240</v>
      </c>
      <c r="D316" s="374">
        <f t="shared" si="14"/>
        <v>2021</v>
      </c>
      <c r="E316" s="380">
        <f>ארנונה!$E$22</f>
        <v>0</v>
      </c>
      <c r="F316" s="381"/>
      <c r="G316" s="382"/>
      <c r="H316" s="453"/>
      <c r="I316" s="380"/>
      <c r="J316" s="311" t="str">
        <f>IF(OR(ארנונה!$O$22=0,ארנונה!$E$22&lt;&gt;0),$B$3,"")</f>
        <v>תקין</v>
      </c>
      <c r="K316" s="536"/>
      <c r="L316" s="312" t="str">
        <f>IF(OR(ארנונה!$O$22=0,ארנונה!$E$22&lt;&gt;0),"",P316)</f>
        <v/>
      </c>
      <c r="M316" s="571"/>
      <c r="N316" s="281"/>
      <c r="P316" s="42" t="s">
        <v>241</v>
      </c>
    </row>
    <row r="317" spans="1:16" ht="27.75" customHeight="1">
      <c r="A317" s="378"/>
      <c r="B317" s="379"/>
      <c r="C317" s="379"/>
      <c r="D317" s="374"/>
      <c r="E317" s="380"/>
      <c r="F317" s="381"/>
      <c r="G317" s="382"/>
      <c r="H317" s="453"/>
      <c r="I317" s="380"/>
      <c r="J317" s="311"/>
      <c r="K317" s="536"/>
      <c r="L317" s="312"/>
      <c r="M317" s="571"/>
      <c r="N317" s="281"/>
    </row>
    <row r="318" spans="1:16" ht="27.75" customHeight="1">
      <c r="A318" s="378">
        <v>270</v>
      </c>
      <c r="B318" s="379" t="s">
        <v>123</v>
      </c>
      <c r="C318" s="379" t="s">
        <v>242</v>
      </c>
      <c r="D318" s="374">
        <f t="shared" ref="D318:D331" si="15">$F$3</f>
        <v>2021</v>
      </c>
      <c r="E318" s="380">
        <f>ארנונה!$G$6</f>
        <v>44.75</v>
      </c>
      <c r="F318" s="381"/>
      <c r="G318" s="382"/>
      <c r="H318" s="453"/>
      <c r="I318" s="380"/>
      <c r="J318" s="311" t="str">
        <f>IF(OR(ארנונה!$O$6=0,ארנונה!$G$6&lt;&gt;0),$B$3,"")</f>
        <v>תקין</v>
      </c>
      <c r="K318" s="536"/>
      <c r="L318" s="312" t="str">
        <f>IF(OR(ארנונה!$O$6=0,ארנונה!$G$6&lt;&gt;0),"",P318)</f>
        <v/>
      </c>
      <c r="M318" s="571"/>
      <c r="N318" s="281"/>
      <c r="P318" s="42" t="s">
        <v>243</v>
      </c>
    </row>
    <row r="319" spans="1:16" ht="27.75" customHeight="1">
      <c r="A319" s="378">
        <v>271</v>
      </c>
      <c r="B319" s="379" t="s">
        <v>123</v>
      </c>
      <c r="C319" s="379" t="s">
        <v>244</v>
      </c>
      <c r="D319" s="374">
        <f t="shared" si="15"/>
        <v>2021</v>
      </c>
      <c r="E319" s="380">
        <f>ארנונה!$G$7</f>
        <v>122.04</v>
      </c>
      <c r="F319" s="381"/>
      <c r="G319" s="382"/>
      <c r="H319" s="453"/>
      <c r="I319" s="380"/>
      <c r="J319" s="311" t="str">
        <f>IF(OR(ארנונה!$O$7=0,ארנונה!$G$7&lt;&gt;0),$B$3,"")</f>
        <v>תקין</v>
      </c>
      <c r="K319" s="536"/>
      <c r="L319" s="312" t="str">
        <f>IF(OR(ארנונה!$O$7=0,ארנונה!$G$7&lt;&gt;0),"",P319)</f>
        <v/>
      </c>
      <c r="M319" s="571"/>
      <c r="N319" s="281"/>
      <c r="P319" s="42" t="s">
        <v>245</v>
      </c>
    </row>
    <row r="320" spans="1:16" ht="27.75" customHeight="1">
      <c r="A320" s="378">
        <v>272</v>
      </c>
      <c r="B320" s="379" t="s">
        <v>123</v>
      </c>
      <c r="C320" s="379" t="s">
        <v>246</v>
      </c>
      <c r="D320" s="374">
        <f t="shared" si="15"/>
        <v>2021</v>
      </c>
      <c r="E320" s="380">
        <f>ארנונה!$G$8</f>
        <v>1442.2752608260682</v>
      </c>
      <c r="F320" s="381"/>
      <c r="G320" s="382"/>
      <c r="H320" s="453"/>
      <c r="I320" s="380"/>
      <c r="J320" s="311" t="str">
        <f>IF(OR(ארנונה!$O$8=0,ארנונה!$G$8&lt;&gt;0),$B$3,"")</f>
        <v>תקין</v>
      </c>
      <c r="K320" s="536"/>
      <c r="L320" s="312" t="str">
        <f>IF(OR(ארנונה!$O$8=0,ארנונה!$G$8&lt;&gt;0),"",P320)</f>
        <v/>
      </c>
      <c r="M320" s="571"/>
      <c r="N320" s="281"/>
      <c r="P320" s="42" t="s">
        <v>247</v>
      </c>
    </row>
    <row r="321" spans="1:16" ht="27.75" customHeight="1">
      <c r="A321" s="378">
        <v>273</v>
      </c>
      <c r="B321" s="379" t="s">
        <v>123</v>
      </c>
      <c r="C321" s="379" t="s">
        <v>248</v>
      </c>
      <c r="D321" s="374">
        <f t="shared" si="15"/>
        <v>2021</v>
      </c>
      <c r="E321" s="380">
        <f>ארנונה!$G$9</f>
        <v>55.9</v>
      </c>
      <c r="F321" s="381"/>
      <c r="G321" s="382"/>
      <c r="H321" s="453"/>
      <c r="I321" s="380"/>
      <c r="J321" s="311" t="str">
        <f>IF(OR(ארנונה!$O$9=0,ארנונה!$G$9&lt;&gt;0),$B$3,"")</f>
        <v>תקין</v>
      </c>
      <c r="K321" s="536"/>
      <c r="L321" s="312" t="str">
        <f>IF(OR(ארנונה!$O$9=0,ארנונה!$G$9&lt;&gt;0),"",P321)</f>
        <v/>
      </c>
      <c r="M321" s="571"/>
      <c r="N321" s="281"/>
      <c r="P321" s="42" t="s">
        <v>249</v>
      </c>
    </row>
    <row r="322" spans="1:16" ht="27.75" customHeight="1">
      <c r="A322" s="378">
        <v>274</v>
      </c>
      <c r="B322" s="379" t="s">
        <v>123</v>
      </c>
      <c r="C322" s="379" t="s">
        <v>250</v>
      </c>
      <c r="D322" s="374">
        <f t="shared" si="15"/>
        <v>2021</v>
      </c>
      <c r="E322" s="380">
        <f>ארנונה!$G$10</f>
        <v>82.53</v>
      </c>
      <c r="F322" s="381"/>
      <c r="G322" s="382"/>
      <c r="H322" s="453"/>
      <c r="I322" s="380"/>
      <c r="J322" s="311" t="str">
        <f>IF(OR(ארנונה!$O$10=0,ארנונה!$G$10&lt;&gt;0),$B$3,"")</f>
        <v>תקין</v>
      </c>
      <c r="K322" s="536"/>
      <c r="L322" s="312" t="str">
        <f>IF(OR(ארנונה!$O$10=0,ארנונה!$G$10&lt;&gt;0),"",P322)</f>
        <v/>
      </c>
      <c r="M322" s="571"/>
      <c r="N322" s="281"/>
      <c r="P322" s="42" t="s">
        <v>251</v>
      </c>
    </row>
    <row r="323" spans="1:16" ht="27.75" customHeight="1">
      <c r="A323" s="378">
        <v>275</v>
      </c>
      <c r="B323" s="379" t="s">
        <v>123</v>
      </c>
      <c r="C323" s="379" t="s">
        <v>252</v>
      </c>
      <c r="D323" s="374">
        <f t="shared" si="15"/>
        <v>2021</v>
      </c>
      <c r="E323" s="380">
        <f>ארנונה!$G$11</f>
        <v>232.88</v>
      </c>
      <c r="F323" s="381"/>
      <c r="G323" s="382"/>
      <c r="H323" s="453"/>
      <c r="I323" s="380"/>
      <c r="J323" s="311" t="str">
        <f>IF(OR(ארנונה!$O$11=0,ארנונה!$G$11&lt;&gt;0),$B$3,"")</f>
        <v>תקין</v>
      </c>
      <c r="K323" s="536"/>
      <c r="L323" s="312" t="str">
        <f>IF(OR(ארנונה!$O$11=0,ארנונה!$G$11&lt;&gt;0),"",P323)</f>
        <v/>
      </c>
      <c r="M323" s="571"/>
      <c r="N323" s="281"/>
      <c r="P323" s="42" t="s">
        <v>253</v>
      </c>
    </row>
    <row r="324" spans="1:16" ht="27.75" customHeight="1">
      <c r="A324" s="378">
        <v>276</v>
      </c>
      <c r="B324" s="379" t="s">
        <v>123</v>
      </c>
      <c r="C324" s="379" t="s">
        <v>254</v>
      </c>
      <c r="D324" s="374">
        <f t="shared" si="15"/>
        <v>2021</v>
      </c>
      <c r="E324" s="380">
        <f>ארנונה!$G$12</f>
        <v>0</v>
      </c>
      <c r="F324" s="381"/>
      <c r="G324" s="382"/>
      <c r="H324" s="453"/>
      <c r="I324" s="380"/>
      <c r="J324" s="311" t="str">
        <f>IF(OR(ארנונה!$O$12=0,ארנונה!$G$12&lt;&gt;0),$B$3,"")</f>
        <v>תקין</v>
      </c>
      <c r="K324" s="536"/>
      <c r="L324" s="312" t="str">
        <f>IF(OR(ארנונה!$O$12=0,ארנונה!$G$12&lt;&gt;0),"",P324)</f>
        <v/>
      </c>
      <c r="M324" s="571"/>
      <c r="N324" s="281"/>
      <c r="P324" s="42" t="s">
        <v>255</v>
      </c>
    </row>
    <row r="325" spans="1:16" ht="27.75" customHeight="1">
      <c r="A325" s="378">
        <v>277</v>
      </c>
      <c r="B325" s="379" t="s">
        <v>123</v>
      </c>
      <c r="C325" s="379" t="s">
        <v>256</v>
      </c>
      <c r="D325" s="374">
        <f t="shared" si="15"/>
        <v>2021</v>
      </c>
      <c r="E325" s="380">
        <f>ארנונה!$G$13</f>
        <v>1.32</v>
      </c>
      <c r="F325" s="381"/>
      <c r="G325" s="382"/>
      <c r="H325" s="453"/>
      <c r="I325" s="380"/>
      <c r="J325" s="311" t="str">
        <f>IF(OR(ארנונה!$O$13=0,ארנונה!$G$13&lt;&gt;0),$B$3,"")</f>
        <v>תקין</v>
      </c>
      <c r="K325" s="536"/>
      <c r="L325" s="312" t="str">
        <f>IF(OR(ארנונה!$O$13=0,ארנונה!$G$13&lt;&gt;0),"",P325)</f>
        <v/>
      </c>
      <c r="M325" s="571"/>
      <c r="N325" s="281"/>
      <c r="P325" s="42" t="s">
        <v>257</v>
      </c>
    </row>
    <row r="326" spans="1:16" ht="27.75" customHeight="1">
      <c r="A326" s="378">
        <v>278</v>
      </c>
      <c r="B326" s="379" t="s">
        <v>123</v>
      </c>
      <c r="C326" s="379" t="s">
        <v>258</v>
      </c>
      <c r="D326" s="374">
        <f t="shared" si="15"/>
        <v>2021</v>
      </c>
      <c r="E326" s="380">
        <f>ארנונה!$G$14</f>
        <v>0</v>
      </c>
      <c r="F326" s="381"/>
      <c r="G326" s="382"/>
      <c r="H326" s="453"/>
      <c r="I326" s="380"/>
      <c r="J326" s="311" t="str">
        <f>IF(OR(ארנונה!$O$14=0,ארנונה!$G$14&lt;&gt;0),$B$3,"")</f>
        <v>תקין</v>
      </c>
      <c r="K326" s="536"/>
      <c r="L326" s="312" t="str">
        <f>IF(OR(ארנונה!$O$14=0,ארנונה!$G$14&lt;&gt;0),"",P326)</f>
        <v/>
      </c>
      <c r="M326" s="571"/>
      <c r="N326" s="281"/>
      <c r="P326" s="42" t="s">
        <v>259</v>
      </c>
    </row>
    <row r="327" spans="1:16" ht="27.75" customHeight="1">
      <c r="A327" s="378">
        <v>279</v>
      </c>
      <c r="B327" s="379" t="s">
        <v>123</v>
      </c>
      <c r="C327" s="379" t="s">
        <v>260</v>
      </c>
      <c r="D327" s="374">
        <f t="shared" si="15"/>
        <v>2021</v>
      </c>
      <c r="E327" s="380">
        <f>ארנונה!$G$15</f>
        <v>19.75</v>
      </c>
      <c r="F327" s="381"/>
      <c r="G327" s="382"/>
      <c r="H327" s="453"/>
      <c r="I327" s="380"/>
      <c r="J327" s="311" t="str">
        <f>IF(OR(ארנונה!$O$15=0,ארנונה!$G$15&lt;&gt;0),$B$3,"")</f>
        <v>תקין</v>
      </c>
      <c r="K327" s="536"/>
      <c r="L327" s="312" t="str">
        <f>IF(OR(ארנונה!$O$15=0,ארנונה!$G$15&lt;&gt;0),"",P327)</f>
        <v/>
      </c>
      <c r="M327" s="571"/>
      <c r="N327" s="281"/>
      <c r="P327" s="42" t="s">
        <v>261</v>
      </c>
    </row>
    <row r="328" spans="1:16" ht="27.75" customHeight="1">
      <c r="A328" s="378">
        <v>280</v>
      </c>
      <c r="B328" s="379" t="s">
        <v>123</v>
      </c>
      <c r="C328" s="379" t="s">
        <v>262</v>
      </c>
      <c r="D328" s="374">
        <f t="shared" si="15"/>
        <v>2021</v>
      </c>
      <c r="E328" s="380">
        <f>ארנונה!$G$16</f>
        <v>0</v>
      </c>
      <c r="F328" s="381"/>
      <c r="G328" s="382"/>
      <c r="H328" s="453"/>
      <c r="I328" s="380"/>
      <c r="J328" s="311" t="str">
        <f>IF(OR(ארנונה!$O$16=0,ארנונה!$G$16&lt;&gt;0),$B$3,"")</f>
        <v>תקין</v>
      </c>
      <c r="K328" s="536"/>
      <c r="L328" s="312" t="str">
        <f>IF(OR(ארנונה!$O$16=0,ארנונה!$G$16&lt;&gt;0),"",P328)</f>
        <v/>
      </c>
      <c r="M328" s="571"/>
      <c r="N328" s="281"/>
      <c r="P328" s="42" t="s">
        <v>263</v>
      </c>
    </row>
    <row r="329" spans="1:16" ht="27.75" customHeight="1">
      <c r="A329" s="378">
        <v>281</v>
      </c>
      <c r="B329" s="379" t="s">
        <v>123</v>
      </c>
      <c r="C329" s="379" t="s">
        <v>264</v>
      </c>
      <c r="D329" s="374">
        <f t="shared" si="15"/>
        <v>2021</v>
      </c>
      <c r="E329" s="380">
        <f>ארנונה!$G$17</f>
        <v>68.636740948853841</v>
      </c>
      <c r="F329" s="381"/>
      <c r="G329" s="382"/>
      <c r="H329" s="453"/>
      <c r="I329" s="380"/>
      <c r="J329" s="311" t="str">
        <f>IF(OR(ארנונה!$O$17=0,ארנונה!$G$17&lt;&gt;0),$B$3,"")</f>
        <v>תקין</v>
      </c>
      <c r="K329" s="536"/>
      <c r="L329" s="312" t="str">
        <f>IF(OR(ארנונה!$O$17=0,ארנונה!$G$17&lt;&gt;0),"",P329)</f>
        <v/>
      </c>
      <c r="M329" s="571"/>
      <c r="N329" s="281"/>
      <c r="P329" s="42" t="s">
        <v>265</v>
      </c>
    </row>
    <row r="330" spans="1:16" ht="27.75" customHeight="1">
      <c r="A330" s="378">
        <v>282</v>
      </c>
      <c r="B330" s="379" t="s">
        <v>123</v>
      </c>
      <c r="C330" s="379" t="s">
        <v>266</v>
      </c>
      <c r="D330" s="374">
        <f t="shared" si="15"/>
        <v>2021</v>
      </c>
      <c r="E330" s="380">
        <f>ארנונה!$G$18</f>
        <v>77.58</v>
      </c>
      <c r="F330" s="381"/>
      <c r="G330" s="382"/>
      <c r="H330" s="453"/>
      <c r="I330" s="380"/>
      <c r="J330" s="311" t="str">
        <f>IF(OR(ארנונה!$O$18=0,ארנונה!$G$18&lt;&gt;0),$B$3,"")</f>
        <v>תקין</v>
      </c>
      <c r="K330" s="536"/>
      <c r="L330" s="312" t="str">
        <f>IF(OR(ארנונה!$O$18=0,ארנונה!$G$18&lt;&gt;0),"",P330)</f>
        <v/>
      </c>
      <c r="M330" s="571"/>
      <c r="N330" s="281"/>
      <c r="P330" s="42" t="s">
        <v>267</v>
      </c>
    </row>
    <row r="331" spans="1:16" ht="38.25" customHeight="1">
      <c r="A331" s="378">
        <v>283</v>
      </c>
      <c r="B331" s="379" t="s">
        <v>123</v>
      </c>
      <c r="C331" s="379" t="s">
        <v>268</v>
      </c>
      <c r="D331" s="374">
        <f t="shared" si="15"/>
        <v>2021</v>
      </c>
      <c r="E331" s="380">
        <f>ארנונה!$G$22</f>
        <v>0</v>
      </c>
      <c r="F331" s="381"/>
      <c r="G331" s="382"/>
      <c r="H331" s="453"/>
      <c r="I331" s="380"/>
      <c r="J331" s="311" t="str">
        <f>IF(OR(ארנונה!$O$22=0,ארנונה!$G$22&lt;&gt;0),$B$3,"")</f>
        <v>תקין</v>
      </c>
      <c r="K331" s="536"/>
      <c r="L331" s="312" t="str">
        <f>IF(OR(ארנונה!$O$22=0,ארנונה!$G$22&lt;&gt;0),"",P331)</f>
        <v/>
      </c>
      <c r="M331" s="571"/>
      <c r="N331" s="281"/>
      <c r="P331" s="42" t="s">
        <v>269</v>
      </c>
    </row>
    <row r="332" spans="1:16" ht="27.75" customHeight="1">
      <c r="A332" s="378"/>
      <c r="B332" s="379"/>
      <c r="C332" s="379"/>
      <c r="D332" s="374"/>
      <c r="E332" s="380"/>
      <c r="F332" s="381"/>
      <c r="G332" s="382"/>
      <c r="H332" s="453"/>
      <c r="I332" s="380"/>
      <c r="J332" s="311"/>
      <c r="K332" s="536"/>
      <c r="L332" s="312"/>
      <c r="M332" s="571"/>
      <c r="N332" s="281"/>
    </row>
    <row r="333" spans="1:16" ht="27.75" customHeight="1">
      <c r="A333" s="378">
        <v>284</v>
      </c>
      <c r="B333" s="379" t="s">
        <v>123</v>
      </c>
      <c r="C333" s="379" t="s">
        <v>270</v>
      </c>
      <c r="D333" s="374">
        <f t="shared" ref="D333:D346" si="16">$G$3</f>
        <v>2020</v>
      </c>
      <c r="E333" s="380">
        <f>ארנונה!$K$6</f>
        <v>64.680000000000007</v>
      </c>
      <c r="F333" s="381"/>
      <c r="G333" s="382"/>
      <c r="H333" s="453"/>
      <c r="I333" s="380"/>
      <c r="J333" s="311" t="str">
        <f>IF(OR(ארנונה!$O$6=0,ארנונה!$K$6&lt;&gt;0),$B$3,"")</f>
        <v>תקין</v>
      </c>
      <c r="K333" s="536"/>
      <c r="L333" s="312" t="str">
        <f>IF(OR(ארנונה!$O$6=0,ארנונה!$K$6&lt;&gt;0),"",P333)</f>
        <v/>
      </c>
      <c r="M333" s="571"/>
      <c r="N333" s="281"/>
      <c r="P333" s="42" t="s">
        <v>271</v>
      </c>
    </row>
    <row r="334" spans="1:16" ht="27.75" customHeight="1">
      <c r="A334" s="378">
        <v>285</v>
      </c>
      <c r="B334" s="379" t="s">
        <v>123</v>
      </c>
      <c r="C334" s="379" t="s">
        <v>272</v>
      </c>
      <c r="D334" s="374">
        <f t="shared" si="16"/>
        <v>2020</v>
      </c>
      <c r="E334" s="380">
        <f>ארנונה!$K$7</f>
        <v>295.54000000000002</v>
      </c>
      <c r="F334" s="381"/>
      <c r="G334" s="382"/>
      <c r="H334" s="453"/>
      <c r="I334" s="380"/>
      <c r="J334" s="311" t="str">
        <f>IF(OR(ארנונה!$O$7=0,ארנונה!$K$7&lt;&gt;0),$B$3,"")</f>
        <v>תקין</v>
      </c>
      <c r="K334" s="536"/>
      <c r="L334" s="312" t="str">
        <f>IF(OR(ארנונה!$O$7=0,ארנונה!$K$7&lt;&gt;0),"",P334)</f>
        <v/>
      </c>
      <c r="M334" s="571"/>
      <c r="N334" s="281"/>
      <c r="P334" s="42" t="s">
        <v>273</v>
      </c>
    </row>
    <row r="335" spans="1:16" ht="27.75" customHeight="1">
      <c r="A335" s="378">
        <v>286</v>
      </c>
      <c r="B335" s="379" t="s">
        <v>123</v>
      </c>
      <c r="C335" s="379" t="s">
        <v>274</v>
      </c>
      <c r="D335" s="374">
        <f t="shared" si="16"/>
        <v>2020</v>
      </c>
      <c r="E335" s="380">
        <f>ארנונה!$K$8</f>
        <v>1426.7</v>
      </c>
      <c r="F335" s="381"/>
      <c r="G335" s="382"/>
      <c r="H335" s="453"/>
      <c r="I335" s="380"/>
      <c r="J335" s="311" t="str">
        <f>IF(OR(ארנונה!$O$8=0,ארנונה!$K$8&lt;&gt;0),$B$3,"")</f>
        <v>תקין</v>
      </c>
      <c r="K335" s="536"/>
      <c r="L335" s="312" t="str">
        <f>IF(OR(ארנונה!$O$8=0,ארנונה!$K$8&lt;&gt;0),"",P335)</f>
        <v/>
      </c>
      <c r="M335" s="571"/>
      <c r="N335" s="281"/>
      <c r="P335" s="42" t="s">
        <v>275</v>
      </c>
    </row>
    <row r="336" spans="1:16" ht="27.75" customHeight="1">
      <c r="A336" s="378">
        <v>287</v>
      </c>
      <c r="B336" s="379" t="s">
        <v>123</v>
      </c>
      <c r="C336" s="379" t="s">
        <v>276</v>
      </c>
      <c r="D336" s="374">
        <f t="shared" si="16"/>
        <v>2020</v>
      </c>
      <c r="E336" s="380">
        <f>ארנונה!$K$9</f>
        <v>161.76</v>
      </c>
      <c r="F336" s="381"/>
      <c r="G336" s="382"/>
      <c r="H336" s="453"/>
      <c r="I336" s="380"/>
      <c r="J336" s="311" t="str">
        <f>IF(OR(ארנונה!$O$9=0,ארנונה!$K$9&lt;&gt;0),$B$3,"")</f>
        <v>תקין</v>
      </c>
      <c r="K336" s="536"/>
      <c r="L336" s="312" t="str">
        <f>IF(OR(ארנונה!$O$9=0,ארנונה!$K$9&lt;&gt;0),"",P336)</f>
        <v/>
      </c>
      <c r="M336" s="571"/>
      <c r="N336" s="281"/>
      <c r="P336" s="42" t="s">
        <v>277</v>
      </c>
    </row>
    <row r="337" spans="1:16" ht="27.75" customHeight="1">
      <c r="A337" s="378">
        <v>288</v>
      </c>
      <c r="B337" s="379" t="s">
        <v>123</v>
      </c>
      <c r="C337" s="379" t="s">
        <v>278</v>
      </c>
      <c r="D337" s="374">
        <f t="shared" si="16"/>
        <v>2020</v>
      </c>
      <c r="E337" s="380">
        <f>ארנונה!$K$10</f>
        <v>88.08</v>
      </c>
      <c r="F337" s="381"/>
      <c r="G337" s="382"/>
      <c r="H337" s="453"/>
      <c r="I337" s="380"/>
      <c r="J337" s="311" t="str">
        <f>IF(OR(ארנונה!$O$10=0,ארנונה!$K$10&lt;&gt;0),$B$3,"")</f>
        <v>תקין</v>
      </c>
      <c r="K337" s="536"/>
      <c r="L337" s="312" t="str">
        <f>IF(OR(ארנונה!$O$10=0,ארנונה!$K$10&lt;&gt;0),"",P337)</f>
        <v/>
      </c>
      <c r="M337" s="571"/>
      <c r="N337" s="281"/>
      <c r="P337" s="42" t="s">
        <v>279</v>
      </c>
    </row>
    <row r="338" spans="1:16" ht="27.75" customHeight="1">
      <c r="A338" s="378">
        <v>289</v>
      </c>
      <c r="B338" s="379" t="s">
        <v>123</v>
      </c>
      <c r="C338" s="379" t="s">
        <v>280</v>
      </c>
      <c r="D338" s="374">
        <f t="shared" si="16"/>
        <v>2020</v>
      </c>
      <c r="E338" s="380">
        <f>ארנונה!$K$11</f>
        <v>264.64999999999998</v>
      </c>
      <c r="F338" s="381"/>
      <c r="G338" s="382"/>
      <c r="H338" s="453"/>
      <c r="I338" s="380"/>
      <c r="J338" s="311" t="str">
        <f>IF(OR(ארנונה!$O$11=0,ארנונה!$K$11&lt;&gt;0),$B$3,"")</f>
        <v>תקין</v>
      </c>
      <c r="K338" s="536"/>
      <c r="L338" s="312" t="str">
        <f>IF(OR(ארנונה!$O$11=0,ארנונה!$K$11&lt;&gt;0),"",P338)</f>
        <v/>
      </c>
      <c r="M338" s="571"/>
      <c r="N338" s="281"/>
      <c r="P338" s="42" t="s">
        <v>281</v>
      </c>
    </row>
    <row r="339" spans="1:16" ht="38.25" customHeight="1">
      <c r="A339" s="378">
        <v>290</v>
      </c>
      <c r="B339" s="384" t="s">
        <v>123</v>
      </c>
      <c r="C339" s="384" t="s">
        <v>282</v>
      </c>
      <c r="D339" s="374">
        <f t="shared" si="16"/>
        <v>2020</v>
      </c>
      <c r="E339" s="385">
        <f>ארנונה!$K$12</f>
        <v>0</v>
      </c>
      <c r="F339" s="386"/>
      <c r="G339" s="387"/>
      <c r="H339" s="453"/>
      <c r="I339" s="385"/>
      <c r="J339" s="306" t="str">
        <f>IF(OR(ארנונה!$O$12=0,ארנונה!$K$12&lt;&gt;0),$B$3,"")</f>
        <v>תקין</v>
      </c>
      <c r="K339" s="536"/>
      <c r="L339" s="313" t="str">
        <f>IF(OR(ארנונה!$O$12=0,ארנונה!$K$12&lt;&gt;0),"",P339)</f>
        <v/>
      </c>
      <c r="M339" s="556"/>
      <c r="N339" s="305"/>
      <c r="P339" s="42" t="s">
        <v>283</v>
      </c>
    </row>
    <row r="340" spans="1:16" ht="25.5">
      <c r="A340" s="378">
        <v>291</v>
      </c>
      <c r="B340" s="384" t="s">
        <v>123</v>
      </c>
      <c r="C340" s="384" t="s">
        <v>284</v>
      </c>
      <c r="D340" s="374">
        <f t="shared" si="16"/>
        <v>2020</v>
      </c>
      <c r="E340" s="385">
        <f>ארנונה!$K$13</f>
        <v>34.229999999999997</v>
      </c>
      <c r="F340" s="386"/>
      <c r="G340" s="387"/>
      <c r="H340" s="453"/>
      <c r="I340" s="385"/>
      <c r="J340" s="306" t="str">
        <f>IF(OR(ארנונה!$O$13=0,ארנונה!$K$13&lt;&gt;0),$B$3,"")</f>
        <v>תקין</v>
      </c>
      <c r="K340" s="536"/>
      <c r="L340" s="313" t="str">
        <f>IF(OR(ארנונה!$O$13=0,ארנונה!$K$13&lt;&gt;0),"",P340)</f>
        <v/>
      </c>
      <c r="M340" s="556"/>
      <c r="N340" s="305"/>
      <c r="P340" s="42" t="s">
        <v>285</v>
      </c>
    </row>
    <row r="341" spans="1:16" ht="28.5" customHeight="1">
      <c r="A341" s="378">
        <v>292</v>
      </c>
      <c r="B341" s="384" t="s">
        <v>123</v>
      </c>
      <c r="C341" s="384" t="s">
        <v>286</v>
      </c>
      <c r="D341" s="374">
        <f t="shared" si="16"/>
        <v>2020</v>
      </c>
      <c r="E341" s="385">
        <f>ארנונה!$K$14</f>
        <v>0</v>
      </c>
      <c r="F341" s="386"/>
      <c r="G341" s="387"/>
      <c r="H341" s="453"/>
      <c r="I341" s="385"/>
      <c r="J341" s="306" t="str">
        <f>IF(OR(ארנונה!$O$14=0,ארנונה!$K$14&lt;&gt;0),$B$3,"")</f>
        <v>תקין</v>
      </c>
      <c r="K341" s="536"/>
      <c r="L341" s="313" t="str">
        <f>IF(OR(ארנונה!$O$14=0,ארנונה!$K$14&lt;&gt;0),"",P341)</f>
        <v/>
      </c>
      <c r="M341" s="556"/>
      <c r="N341" s="281"/>
      <c r="P341" s="42" t="s">
        <v>287</v>
      </c>
    </row>
    <row r="342" spans="1:16" ht="39" customHeight="1">
      <c r="A342" s="378">
        <v>293</v>
      </c>
      <c r="B342" s="384" t="s">
        <v>123</v>
      </c>
      <c r="C342" s="384" t="s">
        <v>288</v>
      </c>
      <c r="D342" s="374">
        <f t="shared" si="16"/>
        <v>2020</v>
      </c>
      <c r="E342" s="385">
        <f>ארנונה!$K$15</f>
        <v>25.58</v>
      </c>
      <c r="F342" s="386"/>
      <c r="G342" s="387"/>
      <c r="H342" s="453"/>
      <c r="I342" s="385"/>
      <c r="J342" s="306" t="str">
        <f>IF(OR(ארנונה!$O$15=0,ארנונה!$K$15&lt;&gt;0),$B$3,"")</f>
        <v>תקין</v>
      </c>
      <c r="K342" s="536"/>
      <c r="L342" s="313" t="str">
        <f>IF(OR(ארנונה!$O$15=0,ארנונה!$K$15&lt;&gt;0),"",P342)</f>
        <v/>
      </c>
      <c r="M342" s="556"/>
      <c r="N342" s="281"/>
      <c r="P342" s="42" t="s">
        <v>289</v>
      </c>
    </row>
    <row r="343" spans="1:16" ht="30.75" customHeight="1">
      <c r="A343" s="378">
        <v>294</v>
      </c>
      <c r="B343" s="384" t="s">
        <v>123</v>
      </c>
      <c r="C343" s="384" t="s">
        <v>290</v>
      </c>
      <c r="D343" s="374">
        <f t="shared" si="16"/>
        <v>2020</v>
      </c>
      <c r="E343" s="385">
        <f>ארנונה!$K$16</f>
        <v>0</v>
      </c>
      <c r="F343" s="386"/>
      <c r="G343" s="387"/>
      <c r="H343" s="453"/>
      <c r="I343" s="385"/>
      <c r="J343" s="306" t="str">
        <f>IF(OR(ארנונה!$O$16=0,ארנונה!$K$16&lt;&gt;0),$B$3,"")</f>
        <v>תקין</v>
      </c>
      <c r="K343" s="536"/>
      <c r="L343" s="313" t="str">
        <f>IF(OR(ארנונה!$O$16=0,ארנונה!$K$16&lt;&gt;0),"",P343)</f>
        <v/>
      </c>
      <c r="M343" s="556"/>
      <c r="N343" s="281"/>
      <c r="P343" s="42" t="s">
        <v>291</v>
      </c>
    </row>
    <row r="344" spans="1:16" ht="25.5">
      <c r="A344" s="378">
        <v>295</v>
      </c>
      <c r="B344" s="388" t="s">
        <v>123</v>
      </c>
      <c r="C344" s="388" t="s">
        <v>292</v>
      </c>
      <c r="D344" s="389">
        <f t="shared" si="16"/>
        <v>2020</v>
      </c>
      <c r="E344" s="390">
        <f>ארנונה!$K$17</f>
        <v>70.290000000000006</v>
      </c>
      <c r="F344" s="391"/>
      <c r="G344" s="392"/>
      <c r="H344" s="454"/>
      <c r="I344" s="390"/>
      <c r="J344" s="337" t="str">
        <f>IF(OR(ארנונה!$O$17=0,ארנונה!$K$17&lt;&gt;0),$B$3,"")</f>
        <v>תקין</v>
      </c>
      <c r="K344" s="545"/>
      <c r="L344" s="339" t="str">
        <f>IF(OR(ארנונה!$O$17=0,ארנונה!$K$17&lt;&gt;0),"",P344)</f>
        <v/>
      </c>
      <c r="M344" s="557"/>
      <c r="N344" s="281"/>
      <c r="P344" s="42" t="s">
        <v>293</v>
      </c>
    </row>
    <row r="345" spans="1:16" ht="25.5">
      <c r="A345" s="378">
        <v>296</v>
      </c>
      <c r="B345" s="388" t="s">
        <v>123</v>
      </c>
      <c r="C345" s="388" t="s">
        <v>294</v>
      </c>
      <c r="D345" s="389">
        <f t="shared" si="16"/>
        <v>2020</v>
      </c>
      <c r="E345" s="390">
        <f>ארנונה!$K$18</f>
        <v>286.13</v>
      </c>
      <c r="F345" s="391"/>
      <c r="G345" s="392"/>
      <c r="H345" s="454"/>
      <c r="I345" s="390"/>
      <c r="J345" s="337" t="str">
        <f>IF(OR(ארנונה!$O$18=0,ארנונה!$K$18&lt;&gt;0),$B$3,"")</f>
        <v>תקין</v>
      </c>
      <c r="K345" s="545"/>
      <c r="L345" s="339" t="str">
        <f>IF(OR(ארנונה!$O$18=0,ארנונה!$K$18&lt;&gt;0),"",P345)</f>
        <v/>
      </c>
      <c r="M345" s="557"/>
      <c r="N345" s="281"/>
      <c r="P345" s="42" t="s">
        <v>295</v>
      </c>
    </row>
    <row r="346" spans="1:16" ht="38.25">
      <c r="A346" s="378">
        <v>297</v>
      </c>
      <c r="B346" s="388" t="s">
        <v>123</v>
      </c>
      <c r="C346" s="388" t="s">
        <v>296</v>
      </c>
      <c r="D346" s="389">
        <f t="shared" si="16"/>
        <v>2020</v>
      </c>
      <c r="E346" s="390">
        <f>ארנונה!$K$22</f>
        <v>0</v>
      </c>
      <c r="F346" s="391"/>
      <c r="G346" s="392"/>
      <c r="H346" s="454"/>
      <c r="I346" s="390"/>
      <c r="J346" s="337" t="str">
        <f>IF(OR(ארנונה!$O$22=0,ארנונה!$K$22&lt;&gt;0),$B$3,"")</f>
        <v>תקין</v>
      </c>
      <c r="K346" s="545"/>
      <c r="L346" s="339" t="str">
        <f>IF(OR(ארנונה!$O$22=0,ארנונה!$K$22&lt;&gt;0),"",P346)</f>
        <v/>
      </c>
      <c r="M346" s="556"/>
      <c r="N346" s="281"/>
      <c r="P346" s="42" t="s">
        <v>297</v>
      </c>
    </row>
    <row r="347" spans="1:16">
      <c r="A347" s="378"/>
      <c r="B347" s="473"/>
      <c r="C347" s="473"/>
      <c r="D347" s="389"/>
      <c r="E347" s="390"/>
      <c r="F347" s="391"/>
      <c r="G347" s="392"/>
      <c r="H347" s="454"/>
      <c r="I347" s="390"/>
      <c r="J347" s="337"/>
      <c r="K347" s="545"/>
      <c r="L347" s="339"/>
      <c r="M347" s="556"/>
      <c r="N347" s="281"/>
    </row>
    <row r="348" spans="1:16" ht="25.5">
      <c r="A348" s="378">
        <v>298</v>
      </c>
      <c r="B348" s="379" t="s">
        <v>123</v>
      </c>
      <c r="C348" s="379" t="s">
        <v>449</v>
      </c>
      <c r="D348" s="454">
        <f>$F$3</f>
        <v>2021</v>
      </c>
      <c r="E348" s="390">
        <f>ארנונה!I6</f>
        <v>65.424003466165146</v>
      </c>
      <c r="F348" s="391"/>
      <c r="G348" s="392"/>
      <c r="H348" s="454"/>
      <c r="I348" s="390"/>
      <c r="J348" s="337" t="str">
        <f>IF(OR(E348&lt;=ארנונה!E6,'בדיקות הצלבה'!E348&gt;=ארנונה!G6),$B$3,"")</f>
        <v>תקין</v>
      </c>
      <c r="K348" s="545"/>
      <c r="L348" s="339" t="str">
        <f>IF(OR(E348&lt;=ארנונה!E6,'בדיקות הצלבה'!E348&gt;=ארנונה!G6),"",P348)</f>
        <v/>
      </c>
      <c r="M348" s="556"/>
      <c r="N348" s="281"/>
      <c r="P348" s="58" t="s">
        <v>463</v>
      </c>
    </row>
    <row r="349" spans="1:16" ht="25.5">
      <c r="A349" s="378">
        <v>299</v>
      </c>
      <c r="B349" s="379" t="s">
        <v>123</v>
      </c>
      <c r="C349" s="379" t="s">
        <v>450</v>
      </c>
      <c r="D349" s="454">
        <f t="shared" ref="D349:D361" si="17">$F$3</f>
        <v>2021</v>
      </c>
      <c r="E349" s="390">
        <f>ארנונה!I7</f>
        <v>281.73723955737216</v>
      </c>
      <c r="F349" s="391"/>
      <c r="G349" s="392"/>
      <c r="H349" s="454"/>
      <c r="I349" s="390"/>
      <c r="J349" s="337" t="str">
        <f>IF(OR(E349&lt;=ארנונה!E7,'בדיקות הצלבה'!E349&gt;=ארנונה!G7),$B$3,"")</f>
        <v>תקין</v>
      </c>
      <c r="K349" s="545"/>
      <c r="L349" s="339" t="str">
        <f>IF(OR(E349&lt;=ארנונה!E7,'בדיקות הצלבה'!E349&gt;=ארנונה!G7),"",P349)</f>
        <v/>
      </c>
      <c r="M349" s="556"/>
      <c r="N349" s="281"/>
      <c r="P349" s="58" t="s">
        <v>464</v>
      </c>
    </row>
    <row r="350" spans="1:16">
      <c r="A350" s="378">
        <v>300</v>
      </c>
      <c r="B350" s="379" t="s">
        <v>123</v>
      </c>
      <c r="C350" s="379" t="s">
        <v>451</v>
      </c>
      <c r="D350" s="454">
        <f t="shared" si="17"/>
        <v>2021</v>
      </c>
      <c r="E350" s="390">
        <f>ארנונה!I8</f>
        <v>1442.2752608260682</v>
      </c>
      <c r="F350" s="391"/>
      <c r="G350" s="392"/>
      <c r="H350" s="454"/>
      <c r="I350" s="390"/>
      <c r="J350" s="337" t="str">
        <f>IF(OR(E350&lt;=ארנונה!E8,'בדיקות הצלבה'!E350&gt;=ארנונה!G8),$B$3,"")</f>
        <v>תקין</v>
      </c>
      <c r="K350" s="545"/>
      <c r="L350" s="339" t="str">
        <f>IF(OR(E350&lt;=ארנונה!E8,'בדיקות הצלבה'!E350&gt;=ארנונה!G8),"",P350)</f>
        <v/>
      </c>
      <c r="M350" s="556"/>
      <c r="N350" s="281"/>
      <c r="P350" s="58" t="s">
        <v>465</v>
      </c>
    </row>
    <row r="351" spans="1:16" ht="26.25" customHeight="1">
      <c r="A351" s="378">
        <v>301</v>
      </c>
      <c r="B351" s="379" t="s">
        <v>123</v>
      </c>
      <c r="C351" s="379" t="s">
        <v>452</v>
      </c>
      <c r="D351" s="454">
        <f t="shared" si="17"/>
        <v>2021</v>
      </c>
      <c r="E351" s="390">
        <f>ארנונה!I9</f>
        <v>163.20651906047547</v>
      </c>
      <c r="F351" s="391"/>
      <c r="G351" s="392"/>
      <c r="H351" s="454"/>
      <c r="I351" s="390"/>
      <c r="J351" s="337" t="str">
        <f>IF(OR(E351&lt;=ארנונה!E9,'בדיקות הצלבה'!E351&gt;=ארנונה!G9),$B$3,"")</f>
        <v>תקין</v>
      </c>
      <c r="K351" s="545"/>
      <c r="L351" s="339" t="str">
        <f>IF(OR(E351&lt;=ארנונה!E9,'בדיקות הצלבה'!E351&gt;=ארנונה!G9),"",P351)</f>
        <v/>
      </c>
      <c r="M351" s="556"/>
      <c r="N351" s="281"/>
      <c r="P351" s="58" t="s">
        <v>466</v>
      </c>
    </row>
    <row r="352" spans="1:16" ht="27.75" customHeight="1">
      <c r="A352" s="378">
        <v>302</v>
      </c>
      <c r="B352" s="379" t="s">
        <v>123</v>
      </c>
      <c r="C352" s="379" t="s">
        <v>453</v>
      </c>
      <c r="D352" s="454">
        <f t="shared" si="17"/>
        <v>2021</v>
      </c>
      <c r="E352" s="390">
        <f>ארנונה!I10</f>
        <v>89.085048714379894</v>
      </c>
      <c r="F352" s="391"/>
      <c r="G352" s="392"/>
      <c r="H352" s="454"/>
      <c r="I352" s="390"/>
      <c r="J352" s="337" t="str">
        <f>IF(OR(E352&lt;=ארנונה!E10,'בדיקות הצלבה'!E352&gt;=ארנונה!G10),$B$3,"")</f>
        <v>תקין</v>
      </c>
      <c r="K352" s="545"/>
      <c r="L352" s="339" t="str">
        <f>IF(OR(E352&lt;=ארנונה!E10,'בדיקות הצלבה'!E352&gt;=ארנונה!G10),"",P352)</f>
        <v/>
      </c>
      <c r="M352" s="556"/>
      <c r="N352" s="281"/>
      <c r="P352" s="58" t="s">
        <v>467</v>
      </c>
    </row>
    <row r="353" spans="1:16" ht="23.25" customHeight="1">
      <c r="A353" s="378">
        <v>303</v>
      </c>
      <c r="B353" s="379" t="s">
        <v>123</v>
      </c>
      <c r="C353" s="379" t="s">
        <v>454</v>
      </c>
      <c r="D353" s="454">
        <f t="shared" si="17"/>
        <v>2021</v>
      </c>
      <c r="E353" s="390">
        <f>ארנונה!I11</f>
        <v>263.73511078195395</v>
      </c>
      <c r="F353" s="391"/>
      <c r="G353" s="392"/>
      <c r="H353" s="454"/>
      <c r="I353" s="390"/>
      <c r="J353" s="337" t="str">
        <f>IF(OR(E353&lt;=ארנונה!E11,'בדיקות הצלבה'!E353&gt;=ארנונה!G11),$B$3,"")</f>
        <v>תקין</v>
      </c>
      <c r="K353" s="545"/>
      <c r="L353" s="339" t="str">
        <f>IF(OR(E353&lt;=ארנונה!E11,'בדיקות הצלבה'!E353&gt;=ארנונה!G11),"",P353)</f>
        <v/>
      </c>
      <c r="M353" s="556"/>
      <c r="N353" s="281"/>
      <c r="P353" s="58" t="s">
        <v>468</v>
      </c>
    </row>
    <row r="354" spans="1:16" ht="25.5">
      <c r="A354" s="378">
        <v>304</v>
      </c>
      <c r="B354" s="384" t="s">
        <v>123</v>
      </c>
      <c r="C354" s="384" t="s">
        <v>455</v>
      </c>
      <c r="D354" s="454">
        <f t="shared" si="17"/>
        <v>2021</v>
      </c>
      <c r="E354" s="390">
        <f>ארנונה!I12</f>
        <v>0</v>
      </c>
      <c r="F354" s="391"/>
      <c r="G354" s="392"/>
      <c r="H354" s="454"/>
      <c r="I354" s="390"/>
      <c r="J354" s="337" t="str">
        <f>IF(OR(E354&lt;=ארנונה!E12,'בדיקות הצלבה'!E354&gt;=ארנונה!G12),$B$3,"")</f>
        <v>תקין</v>
      </c>
      <c r="K354" s="545"/>
      <c r="L354" s="339" t="str">
        <f>IF(OR(E354&lt;=ארנונה!E12,'בדיקות הצלבה'!E354&gt;=ארנונה!G12),"",P354)</f>
        <v/>
      </c>
      <c r="M354" s="556"/>
      <c r="N354" s="281"/>
      <c r="P354" s="58" t="s">
        <v>469</v>
      </c>
    </row>
    <row r="355" spans="1:16" ht="25.5">
      <c r="A355" s="378">
        <v>305</v>
      </c>
      <c r="B355" s="384" t="s">
        <v>123</v>
      </c>
      <c r="C355" s="384" t="s">
        <v>456</v>
      </c>
      <c r="D355" s="454">
        <f t="shared" si="17"/>
        <v>2021</v>
      </c>
      <c r="E355" s="390">
        <f>ארנונה!I13</f>
        <v>34.59202036169853</v>
      </c>
      <c r="F355" s="391"/>
      <c r="G355" s="392"/>
      <c r="H355" s="454"/>
      <c r="I355" s="390"/>
      <c r="J355" s="337" t="str">
        <f>IF(OR(E355&lt;=ארנונה!E13,'בדיקות הצלבה'!E355&gt;=ארנונה!G13),$B$3,"")</f>
        <v>תקין</v>
      </c>
      <c r="K355" s="545"/>
      <c r="L355" s="339" t="str">
        <f>IF(OR(E355&lt;=ארנונה!E13,'בדיקות הצלבה'!E355&gt;=ארנונה!G13),"",P355)</f>
        <v/>
      </c>
      <c r="M355" s="556"/>
      <c r="N355" s="281"/>
      <c r="P355" s="58" t="s">
        <v>470</v>
      </c>
    </row>
    <row r="356" spans="1:16" ht="25.5">
      <c r="A356" s="378">
        <v>306</v>
      </c>
      <c r="B356" s="384" t="s">
        <v>123</v>
      </c>
      <c r="C356" s="384" t="s">
        <v>457</v>
      </c>
      <c r="D356" s="454">
        <f t="shared" si="17"/>
        <v>2021</v>
      </c>
      <c r="E356" s="390">
        <f>ארנונה!I14</f>
        <v>0</v>
      </c>
      <c r="F356" s="391"/>
      <c r="G356" s="392"/>
      <c r="H356" s="454"/>
      <c r="I356" s="390"/>
      <c r="J356" s="337" t="str">
        <f>IF(OR(E356&lt;=ארנונה!E14,'בדיקות הצלבה'!E356&gt;=ארנונה!G14),$B$3,"")</f>
        <v>תקין</v>
      </c>
      <c r="K356" s="545"/>
      <c r="L356" s="339" t="str">
        <f>IF(OR(E356&lt;=ארנונה!E14,'בדיקות הצלבה'!E356&gt;=ארנונה!G14),"",P356)</f>
        <v/>
      </c>
      <c r="M356" s="556"/>
      <c r="N356" s="281"/>
      <c r="P356" s="58" t="s">
        <v>471</v>
      </c>
    </row>
    <row r="357" spans="1:16" ht="27.75" customHeight="1">
      <c r="A357" s="378">
        <v>307</v>
      </c>
      <c r="B357" s="384" t="s">
        <v>123</v>
      </c>
      <c r="C357" s="384" t="s">
        <v>458</v>
      </c>
      <c r="D357" s="454">
        <f t="shared" si="17"/>
        <v>2021</v>
      </c>
      <c r="E357" s="390">
        <f>ארנונה!I15</f>
        <v>25.971291866028707</v>
      </c>
      <c r="F357" s="391"/>
      <c r="G357" s="392"/>
      <c r="H357" s="454"/>
      <c r="I357" s="390"/>
      <c r="J357" s="337" t="str">
        <f>IF(OR(E357&lt;=ארנונה!E15,'בדיקות הצלבה'!E357&gt;=ארנונה!G15),$B$3,"")</f>
        <v>תקין</v>
      </c>
      <c r="K357" s="545"/>
      <c r="L357" s="339" t="str">
        <f>IF(OR(E357&lt;=ארנונה!E15,'בדיקות הצלבה'!E357&gt;=ארנונה!G15),"",P357)</f>
        <v/>
      </c>
      <c r="M357" s="556"/>
      <c r="N357" s="281"/>
      <c r="P357" s="58" t="s">
        <v>472</v>
      </c>
    </row>
    <row r="358" spans="1:16" ht="25.5">
      <c r="A358" s="378">
        <v>308</v>
      </c>
      <c r="B358" s="384" t="s">
        <v>123</v>
      </c>
      <c r="C358" s="384" t="s">
        <v>459</v>
      </c>
      <c r="D358" s="454">
        <f t="shared" si="17"/>
        <v>2021</v>
      </c>
      <c r="E358" s="390">
        <f>ארנונה!I16</f>
        <v>0</v>
      </c>
      <c r="F358" s="391"/>
      <c r="G358" s="392"/>
      <c r="H358" s="454"/>
      <c r="I358" s="390"/>
      <c r="J358" s="337" t="str">
        <f>IF(OR(E358&lt;=ארנונה!E16,'בדיקות הצלבה'!E358&gt;=ארנונה!G16),$B$3,"")</f>
        <v>תקין</v>
      </c>
      <c r="K358" s="545"/>
      <c r="L358" s="339" t="str">
        <f>IF(OR(E358&lt;=ארנונה!E16,'בדיקות הצלבה'!E358&gt;=ארנונה!G16),"",P358)</f>
        <v/>
      </c>
      <c r="M358" s="556"/>
      <c r="N358" s="281"/>
      <c r="P358" s="58" t="s">
        <v>473</v>
      </c>
    </row>
    <row r="359" spans="1:16" ht="25.5">
      <c r="A359" s="378">
        <v>309</v>
      </c>
      <c r="B359" s="388" t="s">
        <v>123</v>
      </c>
      <c r="C359" s="388" t="s">
        <v>460</v>
      </c>
      <c r="D359" s="454">
        <f t="shared" si="17"/>
        <v>2021</v>
      </c>
      <c r="E359" s="390">
        <f>ארנונה!I17</f>
        <v>68.636740948853841</v>
      </c>
      <c r="F359" s="391"/>
      <c r="G359" s="392"/>
      <c r="H359" s="454"/>
      <c r="I359" s="390"/>
      <c r="J359" s="337" t="str">
        <f>IF(OR(E359&lt;=ארנונה!E17,'בדיקות הצלבה'!E359&gt;=ארנונה!G17),$B$3,"")</f>
        <v>תקין</v>
      </c>
      <c r="K359" s="545"/>
      <c r="L359" s="339" t="str">
        <f>IF(OR(E359&lt;=ארנונה!E17,'בדיקות הצלבה'!E359&gt;=ארנונה!G17),"",P359)</f>
        <v/>
      </c>
      <c r="M359" s="556"/>
      <c r="N359" s="281"/>
      <c r="P359" s="58" t="s">
        <v>474</v>
      </c>
    </row>
    <row r="360" spans="1:16" ht="25.5">
      <c r="A360" s="378">
        <v>310</v>
      </c>
      <c r="B360" s="388" t="s">
        <v>123</v>
      </c>
      <c r="C360" s="388" t="s">
        <v>461</v>
      </c>
      <c r="D360" s="454">
        <f t="shared" si="17"/>
        <v>2021</v>
      </c>
      <c r="E360" s="390">
        <f>ארנונה!I18</f>
        <v>290.30311158798281</v>
      </c>
      <c r="F360" s="391"/>
      <c r="G360" s="392"/>
      <c r="H360" s="454"/>
      <c r="I360" s="390"/>
      <c r="J360" s="337" t="str">
        <f>IF(OR(E360&lt;=ארנונה!E18,'בדיקות הצלבה'!E360&gt;=ארנונה!G18),$B$3,"")</f>
        <v>תקין</v>
      </c>
      <c r="K360" s="545"/>
      <c r="L360" s="339" t="str">
        <f>IF(OR(E360&lt;=ארנונה!E18,'בדיקות הצלבה'!E360&gt;=ארנונה!G18),"",P360)</f>
        <v/>
      </c>
      <c r="M360" s="556"/>
      <c r="N360" s="281"/>
      <c r="P360" s="58" t="s">
        <v>475</v>
      </c>
    </row>
    <row r="361" spans="1:16" ht="38.25">
      <c r="A361" s="378">
        <v>311</v>
      </c>
      <c r="B361" s="388" t="s">
        <v>123</v>
      </c>
      <c r="C361" s="388" t="s">
        <v>462</v>
      </c>
      <c r="D361" s="454">
        <f t="shared" si="17"/>
        <v>2021</v>
      </c>
      <c r="E361" s="390">
        <f>ארנונה!I22</f>
        <v>0</v>
      </c>
      <c r="F361" s="391"/>
      <c r="G361" s="392"/>
      <c r="H361" s="454"/>
      <c r="I361" s="390"/>
      <c r="J361" s="337" t="str">
        <f>IF(OR(E361&lt;=ארנונה!E22,'בדיקות הצלבה'!E361&gt;=ארנונה!G22),$B$3,"")</f>
        <v>תקין</v>
      </c>
      <c r="K361" s="545"/>
      <c r="L361" s="339" t="str">
        <f>IF(OR(E361&lt;=ארנונה!E22,'בדיקות הצלבה'!E361&gt;=ארנונה!G22),"",P361)</f>
        <v/>
      </c>
      <c r="M361" s="556"/>
      <c r="N361" s="281"/>
      <c r="P361" s="58" t="s">
        <v>476</v>
      </c>
    </row>
    <row r="362" spans="1:16">
      <c r="A362" s="378"/>
      <c r="B362" s="388"/>
      <c r="C362" s="388"/>
      <c r="D362" s="389"/>
      <c r="E362" s="390"/>
      <c r="F362" s="391"/>
      <c r="G362" s="392"/>
      <c r="H362" s="454"/>
      <c r="I362" s="390"/>
      <c r="J362" s="337"/>
      <c r="K362" s="545"/>
      <c r="L362" s="339"/>
      <c r="M362" s="556"/>
      <c r="N362" s="281"/>
    </row>
    <row r="363" spans="1:16" ht="15.75">
      <c r="A363" s="358"/>
      <c r="B363" s="620" t="s">
        <v>354</v>
      </c>
      <c r="C363" s="620"/>
      <c r="D363" s="620"/>
      <c r="E363" s="620"/>
      <c r="F363" s="620"/>
      <c r="G363" s="620"/>
      <c r="H363" s="620"/>
      <c r="I363" s="620"/>
      <c r="J363" s="359"/>
      <c r="K363" s="549"/>
      <c r="L363" s="360"/>
      <c r="M363" s="371"/>
      <c r="N363" s="281"/>
    </row>
    <row r="364" spans="1:16" ht="27" customHeight="1">
      <c r="A364" s="395">
        <v>312</v>
      </c>
      <c r="B364" s="396" t="s">
        <v>13</v>
      </c>
      <c r="C364" s="396" t="s">
        <v>355</v>
      </c>
      <c r="D364" s="389">
        <f t="shared" ref="D364:D415" si="18">$F$3</f>
        <v>2021</v>
      </c>
      <c r="E364" s="390">
        <f>'שכר ומשרות'!D10</f>
        <v>4</v>
      </c>
      <c r="F364" s="392" t="s">
        <v>13</v>
      </c>
      <c r="G364" s="392" t="s">
        <v>356</v>
      </c>
      <c r="H364" s="454">
        <f t="shared" ref="H364:H405" si="19">$F$3</f>
        <v>2021</v>
      </c>
      <c r="I364" s="390">
        <f>'שכר ומשרות'!F10</f>
        <v>3370</v>
      </c>
      <c r="J364" s="337" t="str">
        <f t="shared" ref="J364:J405" si="20">IF(OR(AND($E364&lt;&gt;0,$I364=0),AND($I364&lt;&gt;0,$E364=0)),"",$B$3)</f>
        <v>תקין</v>
      </c>
      <c r="K364" s="545"/>
      <c r="L364" s="339" t="str">
        <f t="shared" ref="L364:L405" si="21">IF(OR(AND($E364&lt;&gt;0,$I364=0),AND($I364&lt;&gt;0,$E364=0)),P364,"")</f>
        <v/>
      </c>
      <c r="M364" s="556"/>
      <c r="N364" s="281"/>
      <c r="P364" s="42" t="s">
        <v>357</v>
      </c>
    </row>
    <row r="365" spans="1:16">
      <c r="A365" s="395">
        <v>313</v>
      </c>
      <c r="B365" s="396" t="s">
        <v>13</v>
      </c>
      <c r="C365" s="396" t="s">
        <v>358</v>
      </c>
      <c r="D365" s="389">
        <f t="shared" si="18"/>
        <v>2021</v>
      </c>
      <c r="E365" s="390">
        <f>'שכר ומשרות'!D11</f>
        <v>52</v>
      </c>
      <c r="F365" s="392" t="s">
        <v>13</v>
      </c>
      <c r="G365" s="392" t="s">
        <v>359</v>
      </c>
      <c r="H365" s="454">
        <f t="shared" si="19"/>
        <v>2021</v>
      </c>
      <c r="I365" s="390">
        <f>'שכר ומשרות'!F11</f>
        <v>12797</v>
      </c>
      <c r="J365" s="337" t="str">
        <f t="shared" si="20"/>
        <v>תקין</v>
      </c>
      <c r="K365" s="545"/>
      <c r="L365" s="339" t="str">
        <f t="shared" si="21"/>
        <v/>
      </c>
      <c r="M365" s="557"/>
      <c r="N365" s="281"/>
      <c r="P365" s="42" t="s">
        <v>357</v>
      </c>
    </row>
    <row r="366" spans="1:16">
      <c r="A366" s="395">
        <v>314</v>
      </c>
      <c r="B366" s="396" t="s">
        <v>13</v>
      </c>
      <c r="C366" s="396" t="s">
        <v>360</v>
      </c>
      <c r="D366" s="389">
        <f t="shared" si="18"/>
        <v>2021</v>
      </c>
      <c r="E366" s="390">
        <f>'שכר ומשרות'!D12</f>
        <v>95</v>
      </c>
      <c r="F366" s="392" t="s">
        <v>13</v>
      </c>
      <c r="G366" s="392" t="s">
        <v>361</v>
      </c>
      <c r="H366" s="454">
        <f t="shared" si="19"/>
        <v>2021</v>
      </c>
      <c r="I366" s="390">
        <f>'שכר ומשרות'!F12</f>
        <v>18469</v>
      </c>
      <c r="J366" s="337" t="str">
        <f t="shared" si="20"/>
        <v>תקין</v>
      </c>
      <c r="K366" s="545"/>
      <c r="L366" s="339" t="str">
        <f t="shared" si="21"/>
        <v/>
      </c>
      <c r="M366" s="557"/>
      <c r="N366" s="281"/>
      <c r="P366" s="42" t="s">
        <v>357</v>
      </c>
    </row>
    <row r="367" spans="1:16">
      <c r="A367" s="395">
        <v>315</v>
      </c>
      <c r="B367" s="396" t="s">
        <v>13</v>
      </c>
      <c r="C367" s="396" t="s">
        <v>362</v>
      </c>
      <c r="D367" s="389">
        <f t="shared" si="18"/>
        <v>2021</v>
      </c>
      <c r="E367" s="390">
        <f>'שכר ומשרות'!D15</f>
        <v>101</v>
      </c>
      <c r="F367" s="392" t="s">
        <v>13</v>
      </c>
      <c r="G367" s="392" t="s">
        <v>363</v>
      </c>
      <c r="H367" s="454">
        <f t="shared" si="19"/>
        <v>2021</v>
      </c>
      <c r="I367" s="390">
        <f>'שכר ומשרות'!F15</f>
        <v>20434</v>
      </c>
      <c r="J367" s="337" t="str">
        <f t="shared" si="20"/>
        <v>תקין</v>
      </c>
      <c r="K367" s="545"/>
      <c r="L367" s="339" t="str">
        <f t="shared" si="21"/>
        <v/>
      </c>
      <c r="M367" s="557"/>
      <c r="N367" s="281"/>
      <c r="P367" s="42" t="s">
        <v>357</v>
      </c>
    </row>
    <row r="368" spans="1:16" ht="27.75" customHeight="1">
      <c r="A368" s="395">
        <v>316</v>
      </c>
      <c r="B368" s="396" t="s">
        <v>13</v>
      </c>
      <c r="C368" s="396" t="s">
        <v>364</v>
      </c>
      <c r="D368" s="389">
        <f t="shared" si="18"/>
        <v>2021</v>
      </c>
      <c r="E368" s="390">
        <f>'שכר ומשרות'!D16</f>
        <v>10</v>
      </c>
      <c r="F368" s="392" t="s">
        <v>13</v>
      </c>
      <c r="G368" s="392" t="s">
        <v>365</v>
      </c>
      <c r="H368" s="454">
        <f t="shared" si="19"/>
        <v>2021</v>
      </c>
      <c r="I368" s="390">
        <f>'שכר ומשרות'!F16</f>
        <v>2188</v>
      </c>
      <c r="J368" s="337" t="str">
        <f t="shared" si="20"/>
        <v>תקין</v>
      </c>
      <c r="K368" s="545"/>
      <c r="L368" s="339" t="str">
        <f t="shared" si="21"/>
        <v/>
      </c>
      <c r="M368" s="557"/>
      <c r="N368" s="281"/>
      <c r="P368" s="42" t="s">
        <v>357</v>
      </c>
    </row>
    <row r="369" spans="1:16" ht="24" customHeight="1">
      <c r="A369" s="395">
        <v>317</v>
      </c>
      <c r="B369" s="396" t="s">
        <v>13</v>
      </c>
      <c r="C369" s="396" t="s">
        <v>366</v>
      </c>
      <c r="D369" s="389">
        <f t="shared" si="18"/>
        <v>2021</v>
      </c>
      <c r="E369" s="390">
        <f>'שכר ומשרות'!D17</f>
        <v>56</v>
      </c>
      <c r="F369" s="392" t="s">
        <v>13</v>
      </c>
      <c r="G369" s="392" t="s">
        <v>367</v>
      </c>
      <c r="H369" s="454">
        <f t="shared" si="19"/>
        <v>2021</v>
      </c>
      <c r="I369" s="390">
        <f>'שכר ומשרות'!F17</f>
        <v>13615</v>
      </c>
      <c r="J369" s="337" t="str">
        <f t="shared" si="20"/>
        <v>תקין</v>
      </c>
      <c r="K369" s="545"/>
      <c r="L369" s="339" t="str">
        <f t="shared" si="21"/>
        <v/>
      </c>
      <c r="M369" s="557"/>
      <c r="N369" s="281"/>
      <c r="P369" s="42" t="s">
        <v>357</v>
      </c>
    </row>
    <row r="370" spans="1:16" ht="23.25" customHeight="1">
      <c r="A370" s="395">
        <v>318</v>
      </c>
      <c r="B370" s="396" t="s">
        <v>13</v>
      </c>
      <c r="C370" s="396" t="s">
        <v>368</v>
      </c>
      <c r="D370" s="389">
        <f t="shared" si="18"/>
        <v>2021</v>
      </c>
      <c r="E370" s="390">
        <f>'שכר ומשרות'!D18</f>
        <v>63</v>
      </c>
      <c r="F370" s="392" t="s">
        <v>13</v>
      </c>
      <c r="G370" s="392" t="s">
        <v>369</v>
      </c>
      <c r="H370" s="454">
        <f t="shared" si="19"/>
        <v>2021</v>
      </c>
      <c r="I370" s="390">
        <f>'שכר ומשרות'!F18</f>
        <v>18556</v>
      </c>
      <c r="J370" s="337" t="str">
        <f t="shared" si="20"/>
        <v>תקין</v>
      </c>
      <c r="K370" s="545"/>
      <c r="L370" s="339" t="str">
        <f t="shared" si="21"/>
        <v/>
      </c>
      <c r="M370" s="557"/>
      <c r="N370" s="281"/>
      <c r="P370" s="42" t="s">
        <v>357</v>
      </c>
    </row>
    <row r="371" spans="1:16" ht="24" customHeight="1">
      <c r="A371" s="395">
        <v>319</v>
      </c>
      <c r="B371" s="396" t="s">
        <v>13</v>
      </c>
      <c r="C371" s="396" t="s">
        <v>370</v>
      </c>
      <c r="D371" s="389">
        <f t="shared" si="18"/>
        <v>2021</v>
      </c>
      <c r="E371" s="390">
        <f>'שכר ומשרות'!D20</f>
        <v>73</v>
      </c>
      <c r="F371" s="392" t="s">
        <v>13</v>
      </c>
      <c r="G371" s="392" t="s">
        <v>371</v>
      </c>
      <c r="H371" s="454">
        <f t="shared" si="19"/>
        <v>2021</v>
      </c>
      <c r="I371" s="390">
        <f>'שכר ומשרות'!F20</f>
        <v>13378</v>
      </c>
      <c r="J371" s="337" t="str">
        <f t="shared" si="20"/>
        <v>תקין</v>
      </c>
      <c r="K371" s="545"/>
      <c r="L371" s="339" t="str">
        <f t="shared" si="21"/>
        <v/>
      </c>
      <c r="M371" s="557"/>
      <c r="N371" s="281"/>
      <c r="P371" s="42" t="s">
        <v>357</v>
      </c>
    </row>
    <row r="372" spans="1:16" ht="27" customHeight="1">
      <c r="A372" s="395">
        <v>320</v>
      </c>
      <c r="B372" s="396" t="s">
        <v>13</v>
      </c>
      <c r="C372" s="396" t="s">
        <v>372</v>
      </c>
      <c r="D372" s="389">
        <f t="shared" si="18"/>
        <v>2021</v>
      </c>
      <c r="E372" s="390">
        <f>'שכר ומשרות'!D21</f>
        <v>0</v>
      </c>
      <c r="F372" s="392" t="s">
        <v>13</v>
      </c>
      <c r="G372" s="392" t="s">
        <v>373</v>
      </c>
      <c r="H372" s="454">
        <f t="shared" si="19"/>
        <v>2021</v>
      </c>
      <c r="I372" s="390">
        <f>'שכר ומשרות'!F21</f>
        <v>0</v>
      </c>
      <c r="J372" s="337" t="str">
        <f t="shared" si="20"/>
        <v>תקין</v>
      </c>
      <c r="K372" s="545"/>
      <c r="L372" s="339" t="str">
        <f t="shared" si="21"/>
        <v/>
      </c>
      <c r="M372" s="557"/>
      <c r="N372" s="281"/>
      <c r="P372" s="42" t="s">
        <v>357</v>
      </c>
    </row>
    <row r="373" spans="1:16" ht="23.25" customHeight="1">
      <c r="A373" s="395">
        <v>321</v>
      </c>
      <c r="B373" s="396" t="s">
        <v>13</v>
      </c>
      <c r="C373" s="396" t="s">
        <v>374</v>
      </c>
      <c r="D373" s="389">
        <f t="shared" si="18"/>
        <v>2021</v>
      </c>
      <c r="E373" s="390">
        <f>'שכר ומשרות'!D24</f>
        <v>1063</v>
      </c>
      <c r="F373" s="392" t="s">
        <v>13</v>
      </c>
      <c r="G373" s="392" t="s">
        <v>375</v>
      </c>
      <c r="H373" s="454">
        <f t="shared" si="19"/>
        <v>2021</v>
      </c>
      <c r="I373" s="390">
        <f>'שכר ומשרות'!F24</f>
        <v>163339</v>
      </c>
      <c r="J373" s="337" t="str">
        <f t="shared" si="20"/>
        <v>תקין</v>
      </c>
      <c r="K373" s="545"/>
      <c r="L373" s="339" t="str">
        <f t="shared" si="21"/>
        <v/>
      </c>
      <c r="M373" s="557"/>
      <c r="N373" s="281"/>
      <c r="P373" s="42" t="s">
        <v>357</v>
      </c>
    </row>
    <row r="374" spans="1:16" ht="23.25" customHeight="1">
      <c r="A374" s="395">
        <v>322</v>
      </c>
      <c r="B374" s="396" t="s">
        <v>13</v>
      </c>
      <c r="C374" s="396" t="s">
        <v>376</v>
      </c>
      <c r="D374" s="389">
        <f t="shared" si="18"/>
        <v>2021</v>
      </c>
      <c r="E374" s="390">
        <f>'שכר ומשרות'!D25</f>
        <v>71</v>
      </c>
      <c r="F374" s="392" t="s">
        <v>13</v>
      </c>
      <c r="G374" s="392" t="s">
        <v>377</v>
      </c>
      <c r="H374" s="454">
        <f t="shared" si="19"/>
        <v>2021</v>
      </c>
      <c r="I374" s="390">
        <f>'שכר ומשרות'!F25</f>
        <v>14402</v>
      </c>
      <c r="J374" s="337" t="str">
        <f t="shared" si="20"/>
        <v>תקין</v>
      </c>
      <c r="K374" s="545"/>
      <c r="L374" s="339" t="str">
        <f t="shared" si="21"/>
        <v/>
      </c>
      <c r="M374" s="557"/>
      <c r="N374" s="281"/>
      <c r="P374" s="42" t="s">
        <v>357</v>
      </c>
    </row>
    <row r="375" spans="1:16" ht="23.25" customHeight="1">
      <c r="A375" s="395">
        <v>323</v>
      </c>
      <c r="B375" s="396" t="s">
        <v>13</v>
      </c>
      <c r="C375" s="396" t="s">
        <v>378</v>
      </c>
      <c r="D375" s="389">
        <f t="shared" si="18"/>
        <v>2021</v>
      </c>
      <c r="E375" s="390">
        <f>'שכר ומשרות'!D26</f>
        <v>3</v>
      </c>
      <c r="F375" s="392" t="s">
        <v>13</v>
      </c>
      <c r="G375" s="392" t="s">
        <v>379</v>
      </c>
      <c r="H375" s="454">
        <f t="shared" si="19"/>
        <v>2021</v>
      </c>
      <c r="I375" s="390">
        <f>'שכר ומשרות'!F26</f>
        <v>570</v>
      </c>
      <c r="J375" s="337" t="str">
        <f t="shared" si="20"/>
        <v>תקין</v>
      </c>
      <c r="K375" s="545"/>
      <c r="L375" s="339" t="str">
        <f t="shared" si="21"/>
        <v/>
      </c>
      <c r="M375" s="557"/>
      <c r="N375" s="281"/>
      <c r="P375" s="42" t="s">
        <v>357</v>
      </c>
    </row>
    <row r="376" spans="1:16" ht="23.25" customHeight="1">
      <c r="A376" s="395">
        <v>324</v>
      </c>
      <c r="B376" s="396" t="s">
        <v>13</v>
      </c>
      <c r="C376" s="396" t="s">
        <v>380</v>
      </c>
      <c r="D376" s="389">
        <f t="shared" si="18"/>
        <v>2021</v>
      </c>
      <c r="E376" s="390">
        <f>'שכר ומשרות'!D27</f>
        <v>150</v>
      </c>
      <c r="F376" s="392" t="s">
        <v>13</v>
      </c>
      <c r="G376" s="392" t="s">
        <v>381</v>
      </c>
      <c r="H376" s="454">
        <f t="shared" si="19"/>
        <v>2021</v>
      </c>
      <c r="I376" s="390">
        <f>'שכר ומשרות'!F27</f>
        <v>28469</v>
      </c>
      <c r="J376" s="337" t="str">
        <f t="shared" si="20"/>
        <v>תקין</v>
      </c>
      <c r="K376" s="545"/>
      <c r="L376" s="339" t="str">
        <f t="shared" si="21"/>
        <v/>
      </c>
      <c r="M376" s="557"/>
      <c r="N376" s="281"/>
      <c r="P376" s="42" t="s">
        <v>357</v>
      </c>
    </row>
    <row r="377" spans="1:16" ht="23.25" customHeight="1">
      <c r="A377" s="395">
        <v>325</v>
      </c>
      <c r="B377" s="396" t="s">
        <v>13</v>
      </c>
      <c r="C377" s="396" t="s">
        <v>382</v>
      </c>
      <c r="D377" s="389">
        <f t="shared" si="18"/>
        <v>2021</v>
      </c>
      <c r="E377" s="390">
        <f>'שכר ומשרות'!D28</f>
        <v>0</v>
      </c>
      <c r="F377" s="392" t="s">
        <v>13</v>
      </c>
      <c r="G377" s="392" t="s">
        <v>383</v>
      </c>
      <c r="H377" s="454">
        <f t="shared" si="19"/>
        <v>2021</v>
      </c>
      <c r="I377" s="390">
        <f>'שכר ומשרות'!F28</f>
        <v>0</v>
      </c>
      <c r="J377" s="337" t="str">
        <f t="shared" si="20"/>
        <v>תקין</v>
      </c>
      <c r="K377" s="545"/>
      <c r="L377" s="339" t="str">
        <f t="shared" si="21"/>
        <v/>
      </c>
      <c r="M377" s="557"/>
      <c r="N377" s="281"/>
      <c r="P377" s="42" t="s">
        <v>357</v>
      </c>
    </row>
    <row r="378" spans="1:16" ht="23.25" customHeight="1">
      <c r="A378" s="395">
        <v>326</v>
      </c>
      <c r="B378" s="396" t="s">
        <v>13</v>
      </c>
      <c r="C378" s="396" t="s">
        <v>384</v>
      </c>
      <c r="D378" s="389">
        <f t="shared" si="18"/>
        <v>2021</v>
      </c>
      <c r="E378" s="390">
        <f>'שכר ומשרות'!D29</f>
        <v>12</v>
      </c>
      <c r="F378" s="392" t="s">
        <v>13</v>
      </c>
      <c r="G378" s="392" t="s">
        <v>385</v>
      </c>
      <c r="H378" s="454">
        <f t="shared" si="19"/>
        <v>2021</v>
      </c>
      <c r="I378" s="390">
        <f>'שכר ומשרות'!F29</f>
        <v>1946</v>
      </c>
      <c r="J378" s="337" t="str">
        <f t="shared" si="20"/>
        <v>תקין</v>
      </c>
      <c r="K378" s="545"/>
      <c r="L378" s="339" t="str">
        <f t="shared" si="21"/>
        <v/>
      </c>
      <c r="M378" s="557"/>
      <c r="N378" s="281"/>
      <c r="P378" s="42" t="s">
        <v>357</v>
      </c>
    </row>
    <row r="379" spans="1:16" ht="23.25" customHeight="1">
      <c r="A379" s="395">
        <v>327</v>
      </c>
      <c r="B379" s="396" t="s">
        <v>13</v>
      </c>
      <c r="C379" s="396" t="s">
        <v>386</v>
      </c>
      <c r="D379" s="389">
        <f t="shared" si="18"/>
        <v>2021</v>
      </c>
      <c r="E379" s="390">
        <f>'שכר ומשרות'!D30</f>
        <v>4</v>
      </c>
      <c r="F379" s="392" t="s">
        <v>13</v>
      </c>
      <c r="G379" s="392" t="s">
        <v>387</v>
      </c>
      <c r="H379" s="454">
        <f t="shared" si="19"/>
        <v>2021</v>
      </c>
      <c r="I379" s="390">
        <f>'שכר ומשרות'!F30</f>
        <v>642</v>
      </c>
      <c r="J379" s="337" t="str">
        <f t="shared" si="20"/>
        <v>תקין</v>
      </c>
      <c r="K379" s="545"/>
      <c r="L379" s="339" t="str">
        <f t="shared" si="21"/>
        <v/>
      </c>
      <c r="M379" s="557"/>
      <c r="N379" s="281"/>
      <c r="P379" s="42" t="s">
        <v>357</v>
      </c>
    </row>
    <row r="380" spans="1:16" ht="23.25" customHeight="1">
      <c r="A380" s="395">
        <v>328</v>
      </c>
      <c r="B380" s="396" t="s">
        <v>13</v>
      </c>
      <c r="C380" s="396" t="s">
        <v>388</v>
      </c>
      <c r="D380" s="389">
        <f t="shared" si="18"/>
        <v>2021</v>
      </c>
      <c r="E380" s="390">
        <f>'שכר ומשרות'!D33</f>
        <v>5</v>
      </c>
      <c r="F380" s="392" t="s">
        <v>13</v>
      </c>
      <c r="G380" s="392" t="s">
        <v>389</v>
      </c>
      <c r="H380" s="454">
        <f t="shared" si="19"/>
        <v>2021</v>
      </c>
      <c r="I380" s="390">
        <f>'שכר ומשרות'!F33</f>
        <v>1440</v>
      </c>
      <c r="J380" s="337" t="str">
        <f t="shared" si="20"/>
        <v>תקין</v>
      </c>
      <c r="K380" s="545"/>
      <c r="L380" s="339" t="str">
        <f t="shared" si="21"/>
        <v/>
      </c>
      <c r="M380" s="557"/>
      <c r="N380" s="281"/>
      <c r="P380" s="42" t="s">
        <v>357</v>
      </c>
    </row>
    <row r="381" spans="1:16" ht="23.25" customHeight="1">
      <c r="A381" s="395">
        <v>329</v>
      </c>
      <c r="B381" s="396" t="s">
        <v>13</v>
      </c>
      <c r="C381" s="396" t="s">
        <v>390</v>
      </c>
      <c r="D381" s="389">
        <f t="shared" si="18"/>
        <v>2021</v>
      </c>
      <c r="E381" s="390">
        <f>'שכר ומשרות'!D34</f>
        <v>0</v>
      </c>
      <c r="F381" s="392" t="s">
        <v>13</v>
      </c>
      <c r="G381" s="392" t="s">
        <v>391</v>
      </c>
      <c r="H381" s="454">
        <f t="shared" si="19"/>
        <v>2021</v>
      </c>
      <c r="I381" s="390">
        <f>'שכר ומשרות'!F34</f>
        <v>0</v>
      </c>
      <c r="J381" s="337" t="str">
        <f t="shared" si="20"/>
        <v>תקין</v>
      </c>
      <c r="K381" s="545"/>
      <c r="L381" s="339" t="str">
        <f t="shared" si="21"/>
        <v/>
      </c>
      <c r="M381" s="557"/>
      <c r="N381" s="281"/>
      <c r="P381" s="42" t="s">
        <v>357</v>
      </c>
    </row>
    <row r="382" spans="1:16" ht="23.25" customHeight="1">
      <c r="A382" s="395">
        <v>330</v>
      </c>
      <c r="B382" s="396" t="s">
        <v>13</v>
      </c>
      <c r="C382" s="396" t="s">
        <v>392</v>
      </c>
      <c r="D382" s="389">
        <f t="shared" si="18"/>
        <v>2021</v>
      </c>
      <c r="E382" s="390">
        <f>'שכר ומשרות'!D36</f>
        <v>0</v>
      </c>
      <c r="F382" s="392" t="s">
        <v>13</v>
      </c>
      <c r="G382" s="392" t="s">
        <v>393</v>
      </c>
      <c r="H382" s="454">
        <f t="shared" si="19"/>
        <v>2021</v>
      </c>
      <c r="I382" s="390">
        <f>'שכר ומשרות'!F36</f>
        <v>0</v>
      </c>
      <c r="J382" s="337" t="str">
        <f t="shared" si="20"/>
        <v>תקין</v>
      </c>
      <c r="K382" s="545"/>
      <c r="L382" s="339" t="str">
        <f t="shared" si="21"/>
        <v/>
      </c>
      <c r="M382" s="557"/>
      <c r="N382" s="281"/>
      <c r="P382" s="42" t="s">
        <v>357</v>
      </c>
    </row>
    <row r="383" spans="1:16" ht="23.25" customHeight="1">
      <c r="A383" s="395">
        <v>331</v>
      </c>
      <c r="B383" s="396" t="s">
        <v>13</v>
      </c>
      <c r="C383" s="396" t="s">
        <v>394</v>
      </c>
      <c r="D383" s="389">
        <f t="shared" si="18"/>
        <v>2021</v>
      </c>
      <c r="E383" s="390">
        <f>'שכר ומשרות'!D37</f>
        <v>3</v>
      </c>
      <c r="F383" s="392" t="s">
        <v>13</v>
      </c>
      <c r="G383" s="392" t="s">
        <v>398</v>
      </c>
      <c r="H383" s="454">
        <f t="shared" si="19"/>
        <v>2021</v>
      </c>
      <c r="I383" s="390">
        <f>'שכר ומשרות'!F37</f>
        <v>722</v>
      </c>
      <c r="J383" s="337" t="str">
        <f t="shared" si="20"/>
        <v>תקין</v>
      </c>
      <c r="K383" s="545"/>
      <c r="L383" s="339" t="str">
        <f t="shared" si="21"/>
        <v/>
      </c>
      <c r="M383" s="557"/>
      <c r="N383" s="281"/>
      <c r="P383" s="42" t="s">
        <v>357</v>
      </c>
    </row>
    <row r="384" spans="1:16" ht="23.25" customHeight="1">
      <c r="A384" s="395">
        <v>332</v>
      </c>
      <c r="B384" s="396" t="s">
        <v>13</v>
      </c>
      <c r="C384" s="396" t="s">
        <v>399</v>
      </c>
      <c r="D384" s="389">
        <f t="shared" si="18"/>
        <v>2021</v>
      </c>
      <c r="E384" s="390">
        <f>'שכר ומשרות'!D41</f>
        <v>643</v>
      </c>
      <c r="F384" s="392" t="s">
        <v>13</v>
      </c>
      <c r="G384" s="392" t="s">
        <v>400</v>
      </c>
      <c r="H384" s="454">
        <f t="shared" si="19"/>
        <v>2021</v>
      </c>
      <c r="I384" s="390">
        <f>'שכר ומשרות'!F41</f>
        <v>103174</v>
      </c>
      <c r="J384" s="337" t="str">
        <f t="shared" si="20"/>
        <v>תקין</v>
      </c>
      <c r="K384" s="545"/>
      <c r="L384" s="339" t="str">
        <f t="shared" si="21"/>
        <v/>
      </c>
      <c r="M384" s="557"/>
      <c r="N384" s="281"/>
      <c r="P384" s="42" t="s">
        <v>357</v>
      </c>
    </row>
    <row r="385" spans="1:16" ht="27" customHeight="1">
      <c r="A385" s="395">
        <v>339</v>
      </c>
      <c r="B385" s="396" t="s">
        <v>13</v>
      </c>
      <c r="C385" s="396" t="s">
        <v>401</v>
      </c>
      <c r="D385" s="389">
        <f t="shared" si="18"/>
        <v>2021</v>
      </c>
      <c r="E385" s="390">
        <f>'שכר ומשרות'!J10</f>
        <v>4</v>
      </c>
      <c r="F385" s="392" t="s">
        <v>13</v>
      </c>
      <c r="G385" s="392" t="s">
        <v>405</v>
      </c>
      <c r="H385" s="454">
        <f t="shared" si="19"/>
        <v>2021</v>
      </c>
      <c r="I385" s="390">
        <f>'שכר ומשרות'!L10</f>
        <v>853</v>
      </c>
      <c r="J385" s="337" t="str">
        <f t="shared" si="20"/>
        <v>תקין</v>
      </c>
      <c r="K385" s="545"/>
      <c r="L385" s="339" t="str">
        <f t="shared" si="21"/>
        <v/>
      </c>
      <c r="M385" s="557"/>
      <c r="N385" s="281"/>
      <c r="P385" s="42" t="s">
        <v>357</v>
      </c>
    </row>
    <row r="386" spans="1:16">
      <c r="A386" s="395">
        <v>340</v>
      </c>
      <c r="B386" s="396" t="s">
        <v>13</v>
      </c>
      <c r="C386" s="396" t="s">
        <v>406</v>
      </c>
      <c r="D386" s="389">
        <f t="shared" si="18"/>
        <v>2021</v>
      </c>
      <c r="E386" s="390">
        <f>'שכר ומשרות'!J11</f>
        <v>50.7</v>
      </c>
      <c r="F386" s="392" t="s">
        <v>13</v>
      </c>
      <c r="G386" s="392" t="s">
        <v>407</v>
      </c>
      <c r="H386" s="454">
        <f t="shared" si="19"/>
        <v>2021</v>
      </c>
      <c r="I386" s="390">
        <f>'שכר ומשרות'!L11</f>
        <v>2947</v>
      </c>
      <c r="J386" s="337" t="str">
        <f t="shared" si="20"/>
        <v>תקין</v>
      </c>
      <c r="K386" s="545"/>
      <c r="L386" s="339" t="str">
        <f t="shared" si="21"/>
        <v/>
      </c>
      <c r="M386" s="557"/>
      <c r="N386" s="281"/>
      <c r="P386" s="42" t="s">
        <v>357</v>
      </c>
    </row>
    <row r="387" spans="1:16">
      <c r="A387" s="395">
        <v>341</v>
      </c>
      <c r="B387" s="396" t="s">
        <v>13</v>
      </c>
      <c r="C387" s="396" t="s">
        <v>408</v>
      </c>
      <c r="D387" s="389">
        <f t="shared" si="18"/>
        <v>2021</v>
      </c>
      <c r="E387" s="390">
        <f>'שכר ומשרות'!J12</f>
        <v>86.8</v>
      </c>
      <c r="F387" s="392" t="s">
        <v>13</v>
      </c>
      <c r="G387" s="392" t="s">
        <v>409</v>
      </c>
      <c r="H387" s="454">
        <f t="shared" si="19"/>
        <v>2021</v>
      </c>
      <c r="I387" s="390">
        <f>'שכר ומשרות'!L12</f>
        <v>3966</v>
      </c>
      <c r="J387" s="337" t="str">
        <f t="shared" si="20"/>
        <v>תקין</v>
      </c>
      <c r="K387" s="545"/>
      <c r="L387" s="339" t="str">
        <f t="shared" si="21"/>
        <v/>
      </c>
      <c r="M387" s="557"/>
      <c r="N387" s="281"/>
      <c r="P387" s="42" t="s">
        <v>357</v>
      </c>
    </row>
    <row r="388" spans="1:16">
      <c r="A388" s="395">
        <v>342</v>
      </c>
      <c r="B388" s="396" t="s">
        <v>13</v>
      </c>
      <c r="C388" s="396" t="s">
        <v>410</v>
      </c>
      <c r="D388" s="389">
        <f t="shared" si="18"/>
        <v>2021</v>
      </c>
      <c r="E388" s="390">
        <f>'שכר ומשרות'!J15</f>
        <v>93.2</v>
      </c>
      <c r="F388" s="392" t="s">
        <v>13</v>
      </c>
      <c r="G388" s="392" t="s">
        <v>411</v>
      </c>
      <c r="H388" s="454">
        <f t="shared" si="19"/>
        <v>2021</v>
      </c>
      <c r="I388" s="390">
        <f>'שכר ומשרות'!L15</f>
        <v>4010</v>
      </c>
      <c r="J388" s="337" t="str">
        <f t="shared" si="20"/>
        <v>תקין</v>
      </c>
      <c r="K388" s="545"/>
      <c r="L388" s="339" t="str">
        <f t="shared" si="21"/>
        <v/>
      </c>
      <c r="M388" s="557"/>
      <c r="N388" s="281"/>
      <c r="P388" s="42" t="s">
        <v>357</v>
      </c>
    </row>
    <row r="389" spans="1:16" ht="27.75" customHeight="1">
      <c r="A389" s="395">
        <v>343</v>
      </c>
      <c r="B389" s="396" t="s">
        <v>13</v>
      </c>
      <c r="C389" s="396" t="s">
        <v>412</v>
      </c>
      <c r="D389" s="389">
        <f t="shared" si="18"/>
        <v>2021</v>
      </c>
      <c r="E389" s="390">
        <f>'שכר ומשרות'!J16</f>
        <v>9.1</v>
      </c>
      <c r="F389" s="392" t="s">
        <v>13</v>
      </c>
      <c r="G389" s="392" t="s">
        <v>413</v>
      </c>
      <c r="H389" s="454">
        <f t="shared" si="19"/>
        <v>2021</v>
      </c>
      <c r="I389" s="390">
        <f>'שכר ומשרות'!L16</f>
        <v>499</v>
      </c>
      <c r="J389" s="337" t="str">
        <f t="shared" si="20"/>
        <v>תקין</v>
      </c>
      <c r="K389" s="545"/>
      <c r="L389" s="339" t="str">
        <f t="shared" si="21"/>
        <v/>
      </c>
      <c r="M389" s="557"/>
      <c r="N389" s="281"/>
      <c r="P389" s="42" t="s">
        <v>357</v>
      </c>
    </row>
    <row r="390" spans="1:16" ht="24" customHeight="1">
      <c r="A390" s="395">
        <v>344</v>
      </c>
      <c r="B390" s="396" t="s">
        <v>13</v>
      </c>
      <c r="C390" s="396" t="s">
        <v>414</v>
      </c>
      <c r="D390" s="389">
        <f t="shared" si="18"/>
        <v>2021</v>
      </c>
      <c r="E390" s="390">
        <f>'שכר ומשרות'!J17</f>
        <v>52.3</v>
      </c>
      <c r="F390" s="392" t="s">
        <v>13</v>
      </c>
      <c r="G390" s="392" t="s">
        <v>415</v>
      </c>
      <c r="H390" s="454">
        <f t="shared" si="19"/>
        <v>2021</v>
      </c>
      <c r="I390" s="390">
        <f>'שכר ומשרות'!L17</f>
        <v>2984</v>
      </c>
      <c r="J390" s="337" t="str">
        <f t="shared" si="20"/>
        <v>תקין</v>
      </c>
      <c r="K390" s="545"/>
      <c r="L390" s="339" t="str">
        <f t="shared" si="21"/>
        <v/>
      </c>
      <c r="M390" s="557"/>
      <c r="N390" s="281"/>
      <c r="P390" s="42" t="s">
        <v>357</v>
      </c>
    </row>
    <row r="391" spans="1:16" ht="23.25" customHeight="1">
      <c r="A391" s="395">
        <v>345</v>
      </c>
      <c r="B391" s="396" t="s">
        <v>13</v>
      </c>
      <c r="C391" s="396" t="s">
        <v>416</v>
      </c>
      <c r="D391" s="389">
        <f t="shared" si="18"/>
        <v>2021</v>
      </c>
      <c r="E391" s="390">
        <f>'שכר ומשרות'!J18</f>
        <v>49.5</v>
      </c>
      <c r="F391" s="392" t="s">
        <v>13</v>
      </c>
      <c r="G391" s="392" t="s">
        <v>417</v>
      </c>
      <c r="H391" s="454">
        <f t="shared" si="19"/>
        <v>2021</v>
      </c>
      <c r="I391" s="390">
        <f>'שכר ומשרות'!L18</f>
        <v>3471</v>
      </c>
      <c r="J391" s="337" t="str">
        <f t="shared" si="20"/>
        <v>תקין</v>
      </c>
      <c r="K391" s="545"/>
      <c r="L391" s="339" t="str">
        <f t="shared" si="21"/>
        <v/>
      </c>
      <c r="M391" s="557"/>
      <c r="N391" s="281"/>
      <c r="P391" s="42" t="s">
        <v>357</v>
      </c>
    </row>
    <row r="392" spans="1:16" ht="24" customHeight="1">
      <c r="A392" s="395">
        <v>346</v>
      </c>
      <c r="B392" s="396" t="s">
        <v>13</v>
      </c>
      <c r="C392" s="396" t="s">
        <v>418</v>
      </c>
      <c r="D392" s="389">
        <f t="shared" si="18"/>
        <v>2021</v>
      </c>
      <c r="E392" s="390">
        <f>'שכר ומשרות'!J20</f>
        <v>68.599999999999994</v>
      </c>
      <c r="F392" s="392" t="s">
        <v>13</v>
      </c>
      <c r="G392" s="392" t="s">
        <v>419</v>
      </c>
      <c r="H392" s="454">
        <f t="shared" si="19"/>
        <v>2021</v>
      </c>
      <c r="I392" s="390">
        <f>'שכר ומשרות'!L20</f>
        <v>3192</v>
      </c>
      <c r="J392" s="337" t="str">
        <f t="shared" si="20"/>
        <v>תקין</v>
      </c>
      <c r="K392" s="545"/>
      <c r="L392" s="339" t="str">
        <f t="shared" si="21"/>
        <v/>
      </c>
      <c r="M392" s="557"/>
      <c r="N392" s="281"/>
      <c r="P392" s="42" t="s">
        <v>357</v>
      </c>
    </row>
    <row r="393" spans="1:16" ht="27" customHeight="1">
      <c r="A393" s="395">
        <v>347</v>
      </c>
      <c r="B393" s="396" t="s">
        <v>13</v>
      </c>
      <c r="C393" s="396" t="s">
        <v>420</v>
      </c>
      <c r="D393" s="389">
        <f t="shared" si="18"/>
        <v>2021</v>
      </c>
      <c r="E393" s="390">
        <f>'שכר ומשרות'!J21</f>
        <v>0</v>
      </c>
      <c r="F393" s="392" t="s">
        <v>13</v>
      </c>
      <c r="G393" s="392" t="s">
        <v>421</v>
      </c>
      <c r="H393" s="454">
        <f t="shared" si="19"/>
        <v>2021</v>
      </c>
      <c r="I393" s="390">
        <f>'שכר ומשרות'!L21</f>
        <v>0</v>
      </c>
      <c r="J393" s="337" t="str">
        <f t="shared" si="20"/>
        <v>תקין</v>
      </c>
      <c r="K393" s="545"/>
      <c r="L393" s="339" t="str">
        <f t="shared" si="21"/>
        <v/>
      </c>
      <c r="M393" s="557"/>
      <c r="N393" s="281"/>
      <c r="P393" s="42" t="s">
        <v>357</v>
      </c>
    </row>
    <row r="394" spans="1:16" ht="23.25" customHeight="1">
      <c r="A394" s="395">
        <v>348</v>
      </c>
      <c r="B394" s="396" t="s">
        <v>13</v>
      </c>
      <c r="C394" s="396" t="s">
        <v>422</v>
      </c>
      <c r="D394" s="389">
        <f t="shared" si="18"/>
        <v>2021</v>
      </c>
      <c r="E394" s="390">
        <f>'שכר ומשרות'!J24</f>
        <v>1078.3</v>
      </c>
      <c r="F394" s="392" t="s">
        <v>13</v>
      </c>
      <c r="G394" s="392" t="s">
        <v>423</v>
      </c>
      <c r="H394" s="454">
        <f t="shared" si="19"/>
        <v>2021</v>
      </c>
      <c r="I394" s="390">
        <f>'שכר ומשרות'!L24</f>
        <v>37412</v>
      </c>
      <c r="J394" s="337" t="str">
        <f t="shared" si="20"/>
        <v>תקין</v>
      </c>
      <c r="K394" s="545"/>
      <c r="L394" s="339" t="str">
        <f t="shared" si="21"/>
        <v/>
      </c>
      <c r="M394" s="557"/>
      <c r="N394" s="281"/>
      <c r="P394" s="42" t="s">
        <v>357</v>
      </c>
    </row>
    <row r="395" spans="1:16" ht="23.25" customHeight="1">
      <c r="A395" s="395">
        <v>349</v>
      </c>
      <c r="B395" s="396" t="s">
        <v>13</v>
      </c>
      <c r="C395" s="396" t="s">
        <v>424</v>
      </c>
      <c r="D395" s="389">
        <f t="shared" si="18"/>
        <v>2021</v>
      </c>
      <c r="E395" s="390">
        <f>'שכר ומשרות'!J25</f>
        <v>63.7</v>
      </c>
      <c r="F395" s="392" t="s">
        <v>13</v>
      </c>
      <c r="G395" s="392" t="s">
        <v>425</v>
      </c>
      <c r="H395" s="454">
        <f t="shared" si="19"/>
        <v>2021</v>
      </c>
      <c r="I395" s="390">
        <f>'שכר ומשרות'!L25</f>
        <v>2920</v>
      </c>
      <c r="J395" s="337" t="str">
        <f t="shared" si="20"/>
        <v>תקין</v>
      </c>
      <c r="K395" s="545"/>
      <c r="L395" s="339" t="str">
        <f t="shared" si="21"/>
        <v/>
      </c>
      <c r="M395" s="557"/>
      <c r="N395" s="281"/>
      <c r="P395" s="42" t="s">
        <v>357</v>
      </c>
    </row>
    <row r="396" spans="1:16" ht="23.25" customHeight="1">
      <c r="A396" s="395">
        <v>350</v>
      </c>
      <c r="B396" s="396" t="s">
        <v>13</v>
      </c>
      <c r="C396" s="396" t="s">
        <v>426</v>
      </c>
      <c r="D396" s="389">
        <f t="shared" si="18"/>
        <v>2021</v>
      </c>
      <c r="E396" s="390">
        <f>'שכר ומשרות'!J26</f>
        <v>3</v>
      </c>
      <c r="F396" s="392" t="s">
        <v>13</v>
      </c>
      <c r="G396" s="392" t="s">
        <v>427</v>
      </c>
      <c r="H396" s="454">
        <f t="shared" si="19"/>
        <v>2021</v>
      </c>
      <c r="I396" s="390">
        <f>'שכר ומשרות'!L26</f>
        <v>132</v>
      </c>
      <c r="J396" s="337" t="str">
        <f t="shared" si="20"/>
        <v>תקין</v>
      </c>
      <c r="K396" s="545"/>
      <c r="L396" s="339" t="str">
        <f t="shared" si="21"/>
        <v/>
      </c>
      <c r="M396" s="557"/>
      <c r="N396" s="281"/>
      <c r="P396" s="42" t="s">
        <v>357</v>
      </c>
    </row>
    <row r="397" spans="1:16" ht="23.25" customHeight="1">
      <c r="A397" s="395">
        <v>351</v>
      </c>
      <c r="B397" s="396" t="s">
        <v>13</v>
      </c>
      <c r="C397" s="396" t="s">
        <v>428</v>
      </c>
      <c r="D397" s="389">
        <f t="shared" si="18"/>
        <v>2021</v>
      </c>
      <c r="E397" s="390">
        <f>'שכר ומשרות'!J27</f>
        <v>138.19999999999999</v>
      </c>
      <c r="F397" s="392" t="s">
        <v>13</v>
      </c>
      <c r="G397" s="392" t="s">
        <v>429</v>
      </c>
      <c r="H397" s="454">
        <f t="shared" si="19"/>
        <v>2021</v>
      </c>
      <c r="I397" s="390">
        <f>'שכר ומשרות'!L27</f>
        <v>6183</v>
      </c>
      <c r="J397" s="337" t="str">
        <f t="shared" si="20"/>
        <v>תקין</v>
      </c>
      <c r="K397" s="545"/>
      <c r="L397" s="339" t="str">
        <f t="shared" si="21"/>
        <v/>
      </c>
      <c r="M397" s="557"/>
      <c r="N397" s="281"/>
      <c r="P397" s="42" t="s">
        <v>357</v>
      </c>
    </row>
    <row r="398" spans="1:16" ht="23.25" customHeight="1">
      <c r="A398" s="395">
        <v>352</v>
      </c>
      <c r="B398" s="396" t="s">
        <v>13</v>
      </c>
      <c r="C398" s="396" t="s">
        <v>430</v>
      </c>
      <c r="D398" s="389">
        <f t="shared" si="18"/>
        <v>2021</v>
      </c>
      <c r="E398" s="390">
        <f>'שכר ומשרות'!J28</f>
        <v>0</v>
      </c>
      <c r="F398" s="392" t="s">
        <v>13</v>
      </c>
      <c r="G398" s="392" t="s">
        <v>431</v>
      </c>
      <c r="H398" s="454">
        <f t="shared" si="19"/>
        <v>2021</v>
      </c>
      <c r="I398" s="390">
        <f>'שכר ומשרות'!L28</f>
        <v>0</v>
      </c>
      <c r="J398" s="337" t="str">
        <f t="shared" si="20"/>
        <v>תקין</v>
      </c>
      <c r="K398" s="545"/>
      <c r="L398" s="339" t="str">
        <f t="shared" si="21"/>
        <v/>
      </c>
      <c r="M398" s="557"/>
      <c r="N398" s="281"/>
      <c r="P398" s="42" t="s">
        <v>357</v>
      </c>
    </row>
    <row r="399" spans="1:16" ht="23.25" customHeight="1">
      <c r="A399" s="395">
        <v>353</v>
      </c>
      <c r="B399" s="396" t="s">
        <v>13</v>
      </c>
      <c r="C399" s="396" t="s">
        <v>432</v>
      </c>
      <c r="D399" s="389">
        <f t="shared" si="18"/>
        <v>2021</v>
      </c>
      <c r="E399" s="390">
        <f>'שכר ומשרות'!J29</f>
        <v>7.8</v>
      </c>
      <c r="F399" s="392" t="s">
        <v>13</v>
      </c>
      <c r="G399" s="392" t="s">
        <v>433</v>
      </c>
      <c r="H399" s="454">
        <f t="shared" si="19"/>
        <v>2021</v>
      </c>
      <c r="I399" s="390">
        <f>'שכר ומשרות'!L29</f>
        <v>296</v>
      </c>
      <c r="J399" s="337" t="str">
        <f t="shared" si="20"/>
        <v>תקין</v>
      </c>
      <c r="K399" s="545"/>
      <c r="L399" s="339" t="str">
        <f t="shared" si="21"/>
        <v/>
      </c>
      <c r="M399" s="557"/>
      <c r="N399" s="281"/>
      <c r="P399" s="42" t="s">
        <v>357</v>
      </c>
    </row>
    <row r="400" spans="1:16" ht="23.25" customHeight="1">
      <c r="A400" s="395">
        <v>354</v>
      </c>
      <c r="B400" s="396" t="s">
        <v>13</v>
      </c>
      <c r="C400" s="396" t="s">
        <v>434</v>
      </c>
      <c r="D400" s="389">
        <f t="shared" si="18"/>
        <v>2021</v>
      </c>
      <c r="E400" s="390">
        <f>'שכר ומשרות'!J30</f>
        <v>4.9000000000000004</v>
      </c>
      <c r="F400" s="392" t="s">
        <v>13</v>
      </c>
      <c r="G400" s="392" t="s">
        <v>435</v>
      </c>
      <c r="H400" s="454">
        <f t="shared" si="19"/>
        <v>2021</v>
      </c>
      <c r="I400" s="390">
        <f>'שכר ומשרות'!L30</f>
        <v>200</v>
      </c>
      <c r="J400" s="337" t="str">
        <f t="shared" si="20"/>
        <v>תקין</v>
      </c>
      <c r="K400" s="545"/>
      <c r="L400" s="339" t="str">
        <f t="shared" si="21"/>
        <v/>
      </c>
      <c r="M400" s="557"/>
      <c r="N400" s="281"/>
      <c r="P400" s="42" t="s">
        <v>357</v>
      </c>
    </row>
    <row r="401" spans="1:16" ht="23.25" customHeight="1">
      <c r="A401" s="395">
        <v>355</v>
      </c>
      <c r="B401" s="396" t="s">
        <v>13</v>
      </c>
      <c r="C401" s="396" t="s">
        <v>436</v>
      </c>
      <c r="D401" s="389">
        <f t="shared" si="18"/>
        <v>2021</v>
      </c>
      <c r="E401" s="390">
        <f>'שכר ומשרות'!J33</f>
        <v>5</v>
      </c>
      <c r="F401" s="392" t="s">
        <v>13</v>
      </c>
      <c r="G401" s="392" t="s">
        <v>437</v>
      </c>
      <c r="H401" s="454">
        <f t="shared" si="19"/>
        <v>2021</v>
      </c>
      <c r="I401" s="390">
        <f>'שכר ומשרות'!L33</f>
        <v>344</v>
      </c>
      <c r="J401" s="337" t="str">
        <f t="shared" si="20"/>
        <v>תקין</v>
      </c>
      <c r="K401" s="545"/>
      <c r="L401" s="339" t="str">
        <f t="shared" si="21"/>
        <v/>
      </c>
      <c r="M401" s="557"/>
      <c r="N401" s="281"/>
      <c r="P401" s="42" t="s">
        <v>357</v>
      </c>
    </row>
    <row r="402" spans="1:16" ht="23.25" customHeight="1">
      <c r="A402" s="395">
        <v>356</v>
      </c>
      <c r="B402" s="396" t="s">
        <v>13</v>
      </c>
      <c r="C402" s="396" t="s">
        <v>438</v>
      </c>
      <c r="D402" s="389">
        <f t="shared" si="18"/>
        <v>2021</v>
      </c>
      <c r="E402" s="390">
        <f>'שכר ומשרות'!J34</f>
        <v>0</v>
      </c>
      <c r="F402" s="392" t="s">
        <v>13</v>
      </c>
      <c r="G402" s="392" t="s">
        <v>439</v>
      </c>
      <c r="H402" s="454">
        <f t="shared" si="19"/>
        <v>2021</v>
      </c>
      <c r="I402" s="390">
        <f>'שכר ומשרות'!L34</f>
        <v>0</v>
      </c>
      <c r="J402" s="337" t="str">
        <f t="shared" si="20"/>
        <v>תקין</v>
      </c>
      <c r="K402" s="545"/>
      <c r="L402" s="339" t="str">
        <f t="shared" si="21"/>
        <v/>
      </c>
      <c r="M402" s="557"/>
      <c r="N402" s="281"/>
      <c r="P402" s="42" t="s">
        <v>357</v>
      </c>
    </row>
    <row r="403" spans="1:16" ht="23.25" customHeight="1">
      <c r="A403" s="395">
        <v>357</v>
      </c>
      <c r="B403" s="396" t="s">
        <v>13</v>
      </c>
      <c r="C403" s="396" t="s">
        <v>440</v>
      </c>
      <c r="D403" s="389">
        <f t="shared" si="18"/>
        <v>2021</v>
      </c>
      <c r="E403" s="390">
        <f>'שכר ומשרות'!J36</f>
        <v>0</v>
      </c>
      <c r="F403" s="392" t="s">
        <v>13</v>
      </c>
      <c r="G403" s="392" t="s">
        <v>441</v>
      </c>
      <c r="H403" s="454">
        <f t="shared" si="19"/>
        <v>2021</v>
      </c>
      <c r="I403" s="390">
        <f>'שכר ומשרות'!L36</f>
        <v>0</v>
      </c>
      <c r="J403" s="337" t="str">
        <f t="shared" si="20"/>
        <v>תקין</v>
      </c>
      <c r="K403" s="545"/>
      <c r="L403" s="339" t="str">
        <f t="shared" si="21"/>
        <v/>
      </c>
      <c r="M403" s="557"/>
      <c r="N403" s="281"/>
      <c r="P403" s="42" t="s">
        <v>357</v>
      </c>
    </row>
    <row r="404" spans="1:16" ht="23.25" customHeight="1">
      <c r="A404" s="395">
        <v>358</v>
      </c>
      <c r="B404" s="396" t="s">
        <v>13</v>
      </c>
      <c r="C404" s="396" t="s">
        <v>442</v>
      </c>
      <c r="D404" s="389">
        <f t="shared" si="18"/>
        <v>2021</v>
      </c>
      <c r="E404" s="390">
        <f>'שכר ומשרות'!J37</f>
        <v>3</v>
      </c>
      <c r="F404" s="392" t="s">
        <v>13</v>
      </c>
      <c r="G404" s="392" t="s">
        <v>443</v>
      </c>
      <c r="H404" s="454">
        <f t="shared" si="19"/>
        <v>2021</v>
      </c>
      <c r="I404" s="390">
        <f>'שכר ומשרות'!L37</f>
        <v>160</v>
      </c>
      <c r="J404" s="337" t="str">
        <f t="shared" si="20"/>
        <v>תקין</v>
      </c>
      <c r="K404" s="545"/>
      <c r="L404" s="339" t="str">
        <f t="shared" si="21"/>
        <v/>
      </c>
      <c r="M404" s="557"/>
      <c r="N404" s="281"/>
      <c r="P404" s="42" t="s">
        <v>357</v>
      </c>
    </row>
    <row r="405" spans="1:16" ht="23.25" customHeight="1">
      <c r="A405" s="395">
        <v>359</v>
      </c>
      <c r="B405" s="396" t="s">
        <v>13</v>
      </c>
      <c r="C405" s="396" t="s">
        <v>444</v>
      </c>
      <c r="D405" s="389">
        <f t="shared" si="18"/>
        <v>2021</v>
      </c>
      <c r="E405" s="390">
        <f>'שכר ומשרות'!J41</f>
        <v>650.6</v>
      </c>
      <c r="F405" s="392" t="s">
        <v>13</v>
      </c>
      <c r="G405" s="392" t="s">
        <v>445</v>
      </c>
      <c r="H405" s="454">
        <f t="shared" si="19"/>
        <v>2021</v>
      </c>
      <c r="I405" s="390">
        <f>'שכר ומשרות'!L41</f>
        <v>24633</v>
      </c>
      <c r="J405" s="337" t="str">
        <f t="shared" si="20"/>
        <v>תקין</v>
      </c>
      <c r="K405" s="545"/>
      <c r="L405" s="339" t="str">
        <f t="shared" si="21"/>
        <v/>
      </c>
      <c r="M405" s="557"/>
      <c r="N405" s="281"/>
      <c r="P405" s="42" t="s">
        <v>357</v>
      </c>
    </row>
    <row r="406" spans="1:16" ht="23.25" customHeight="1">
      <c r="A406" s="395">
        <v>360</v>
      </c>
      <c r="B406" s="396" t="s">
        <v>13</v>
      </c>
      <c r="C406" s="396" t="s">
        <v>446</v>
      </c>
      <c r="D406" s="389">
        <f t="shared" si="18"/>
        <v>2021</v>
      </c>
      <c r="E406" s="390">
        <f>'שכר ומשרות'!$D$43</f>
        <v>2503</v>
      </c>
      <c r="F406" s="397"/>
      <c r="G406" s="392"/>
      <c r="H406" s="454"/>
      <c r="I406" s="390"/>
      <c r="J406" s="337" t="str">
        <f>IF($E406&lt;&gt;0,$B$3,"")</f>
        <v>תקין</v>
      </c>
      <c r="K406" s="545"/>
      <c r="L406" s="339" t="str">
        <f>IF($E406&lt;&gt;0,"",P406)</f>
        <v/>
      </c>
      <c r="M406" s="557"/>
      <c r="N406" s="281"/>
      <c r="P406" s="42" t="s">
        <v>478</v>
      </c>
    </row>
    <row r="407" spans="1:16" ht="23.25" customHeight="1">
      <c r="A407" s="395">
        <v>361</v>
      </c>
      <c r="B407" s="396" t="s">
        <v>13</v>
      </c>
      <c r="C407" s="396" t="s">
        <v>188</v>
      </c>
      <c r="D407" s="389">
        <f t="shared" si="18"/>
        <v>2021</v>
      </c>
      <c r="E407" s="390">
        <f>'שכר ומשרות'!$F$43</f>
        <v>435768</v>
      </c>
      <c r="F407" s="397"/>
      <c r="G407" s="392"/>
      <c r="H407" s="454"/>
      <c r="I407" s="390"/>
      <c r="J407" s="337" t="str">
        <f>IF($E407&lt;&gt;0,$B$3,"")</f>
        <v>תקין</v>
      </c>
      <c r="K407" s="545"/>
      <c r="L407" s="339" t="str">
        <f>IF($E407&lt;&gt;0,"",P407)</f>
        <v/>
      </c>
      <c r="M407" s="557"/>
      <c r="N407" s="281"/>
      <c r="P407" s="42" t="s">
        <v>487</v>
      </c>
    </row>
    <row r="408" spans="1:16" ht="23.25" customHeight="1">
      <c r="A408" s="395">
        <v>362</v>
      </c>
      <c r="B408" s="396" t="s">
        <v>13</v>
      </c>
      <c r="C408" s="396" t="s">
        <v>488</v>
      </c>
      <c r="D408" s="389">
        <f t="shared" si="18"/>
        <v>2021</v>
      </c>
      <c r="E408" s="390">
        <f>'שכר ומשרות'!$J$43</f>
        <v>2456.8200000000002</v>
      </c>
      <c r="F408" s="397"/>
      <c r="G408" s="392"/>
      <c r="H408" s="454"/>
      <c r="I408" s="390"/>
      <c r="J408" s="337" t="str">
        <f>IF($E408&lt;&gt;0,$B$3,"")</f>
        <v>תקין</v>
      </c>
      <c r="K408" s="545"/>
      <c r="L408" s="339" t="str">
        <f>IF($E408&lt;&gt;0,"",P408)</f>
        <v/>
      </c>
      <c r="M408" s="557"/>
      <c r="N408" s="281"/>
      <c r="P408" s="42" t="s">
        <v>489</v>
      </c>
    </row>
    <row r="409" spans="1:16" ht="23.25" customHeight="1">
      <c r="A409" s="395">
        <v>363</v>
      </c>
      <c r="B409" s="396" t="s">
        <v>13</v>
      </c>
      <c r="C409" s="396" t="s">
        <v>189</v>
      </c>
      <c r="D409" s="389">
        <f t="shared" si="18"/>
        <v>2021</v>
      </c>
      <c r="E409" s="390">
        <f>'שכר ומשרות'!$L$43</f>
        <v>98243</v>
      </c>
      <c r="F409" s="397"/>
      <c r="G409" s="392"/>
      <c r="H409" s="454"/>
      <c r="I409" s="390"/>
      <c r="J409" s="337" t="str">
        <f>IF($E409&lt;&gt;0,$B$3,"")</f>
        <v>תקין</v>
      </c>
      <c r="K409" s="545"/>
      <c r="L409" s="339" t="str">
        <f>IF($E409&lt;&gt;0,"",P409)</f>
        <v/>
      </c>
      <c r="M409" s="556"/>
      <c r="N409" s="281"/>
      <c r="P409" s="42" t="s">
        <v>490</v>
      </c>
    </row>
    <row r="410" spans="1:16" ht="23.25" customHeight="1">
      <c r="A410" s="395">
        <v>364</v>
      </c>
      <c r="B410" s="396" t="s">
        <v>13</v>
      </c>
      <c r="C410" s="396" t="s">
        <v>491</v>
      </c>
      <c r="D410" s="389">
        <f t="shared" si="18"/>
        <v>2021</v>
      </c>
      <c r="E410" s="390">
        <f>'שכר ומשרות'!L27</f>
        <v>6183</v>
      </c>
      <c r="F410" s="397" t="s">
        <v>933</v>
      </c>
      <c r="G410" s="392" t="s">
        <v>492</v>
      </c>
      <c r="H410" s="454">
        <f>$F$3</f>
        <v>2021</v>
      </c>
      <c r="I410" s="390">
        <f>'תקציב רגיל'!G40</f>
        <v>6533</v>
      </c>
      <c r="J410" s="337" t="str">
        <f>IF(E410=I410,$B$3,"")</f>
        <v/>
      </c>
      <c r="K410" s="545">
        <f>IF(E410=I410,"",E410-I410)</f>
        <v>-350</v>
      </c>
      <c r="L410" s="339" t="str">
        <f>IF(E410=I410,"",P410)</f>
        <v>קיים שוני בשכר עובדי רווחה בין נתוני השכר לנתוני התקציב.</v>
      </c>
      <c r="M410" s="557" t="s">
        <v>977</v>
      </c>
      <c r="N410" s="281"/>
      <c r="P410" s="58" t="s">
        <v>493</v>
      </c>
    </row>
    <row r="411" spans="1:16" ht="23.25" customHeight="1">
      <c r="A411" s="395">
        <v>365</v>
      </c>
      <c r="B411" s="396" t="s">
        <v>13</v>
      </c>
      <c r="C411" s="396" t="s">
        <v>494</v>
      </c>
      <c r="D411" s="389">
        <f t="shared" si="18"/>
        <v>2021</v>
      </c>
      <c r="E411" s="390">
        <f>'שכר ומשרות'!L24</f>
        <v>37412</v>
      </c>
      <c r="F411" s="397" t="s">
        <v>933</v>
      </c>
      <c r="G411" s="392" t="s">
        <v>495</v>
      </c>
      <c r="H411" s="454">
        <f>$F$3</f>
        <v>2021</v>
      </c>
      <c r="I411" s="390">
        <f>'תקציב רגיל'!G37</f>
        <v>39641</v>
      </c>
      <c r="J411" s="337" t="str">
        <f>IF(E411=I411,$B$3,"")</f>
        <v/>
      </c>
      <c r="K411" s="545">
        <f>IF(E411=I411,"",E411-I411)</f>
        <v>-2229</v>
      </c>
      <c r="L411" s="339" t="str">
        <f>IF(E411=I411,"",P411)</f>
        <v>קיים שוני בשכר עובדי חינוך בין נתוני השכר לנתוני התקציב.</v>
      </c>
      <c r="M411" s="557" t="s">
        <v>977</v>
      </c>
      <c r="N411" s="281"/>
      <c r="P411" s="58" t="s">
        <v>496</v>
      </c>
    </row>
    <row r="412" spans="1:16" ht="23.25" customHeight="1">
      <c r="A412" s="395">
        <v>366</v>
      </c>
      <c r="B412" s="396" t="s">
        <v>13</v>
      </c>
      <c r="C412" s="396" t="s">
        <v>497</v>
      </c>
      <c r="D412" s="389">
        <f t="shared" si="18"/>
        <v>2021</v>
      </c>
      <c r="E412" s="390">
        <f>'שכר ומשרות'!L13</f>
        <v>7766</v>
      </c>
      <c r="F412" s="397"/>
      <c r="G412" s="392"/>
      <c r="H412" s="454"/>
      <c r="I412" s="390"/>
      <c r="J412" s="518"/>
      <c r="K412" s="545"/>
      <c r="L412" s="339"/>
      <c r="M412" s="557"/>
      <c r="N412" s="281"/>
    </row>
    <row r="413" spans="1:16" ht="23.25" customHeight="1">
      <c r="A413" s="395"/>
      <c r="B413" s="396" t="s">
        <v>13</v>
      </c>
      <c r="C413" s="396" t="s">
        <v>498</v>
      </c>
      <c r="D413" s="389">
        <f t="shared" si="18"/>
        <v>2021</v>
      </c>
      <c r="E413" s="390">
        <f>'שכר ומשרות'!L22</f>
        <v>16198</v>
      </c>
      <c r="F413" s="397"/>
      <c r="G413" s="392"/>
      <c r="H413" s="454"/>
      <c r="I413" s="390"/>
      <c r="J413" s="518"/>
      <c r="K413" s="545"/>
      <c r="L413" s="339"/>
      <c r="M413" s="557"/>
      <c r="N413" s="281"/>
    </row>
    <row r="414" spans="1:16" ht="23.25" customHeight="1">
      <c r="A414" s="395"/>
      <c r="B414" s="396" t="s">
        <v>13</v>
      </c>
      <c r="C414" s="396" t="s">
        <v>499</v>
      </c>
      <c r="D414" s="389">
        <f t="shared" si="18"/>
        <v>2021</v>
      </c>
      <c r="E414" s="390">
        <f>'שכר ומשרות'!L31</f>
        <v>47143</v>
      </c>
      <c r="F414" s="397"/>
      <c r="G414" s="392"/>
      <c r="H414" s="454"/>
      <c r="I414" s="390"/>
      <c r="J414" s="518"/>
      <c r="K414" s="545"/>
      <c r="L414" s="339"/>
      <c r="M414" s="557"/>
      <c r="N414" s="281"/>
    </row>
    <row r="415" spans="1:16" ht="23.25" customHeight="1">
      <c r="A415" s="395"/>
      <c r="B415" s="396" t="s">
        <v>13</v>
      </c>
      <c r="C415" s="396" t="s">
        <v>500</v>
      </c>
      <c r="D415" s="389">
        <f t="shared" si="18"/>
        <v>2021</v>
      </c>
      <c r="E415" s="390">
        <f>'שכר ומשרות'!L39</f>
        <v>2503</v>
      </c>
      <c r="F415" s="397"/>
      <c r="G415" s="392"/>
      <c r="H415" s="454"/>
      <c r="I415" s="390"/>
      <c r="J415" s="518"/>
      <c r="K415" s="545"/>
      <c r="L415" s="339"/>
      <c r="M415" s="557"/>
      <c r="N415" s="281"/>
    </row>
    <row r="416" spans="1:16" ht="23.25" customHeight="1">
      <c r="A416" s="395"/>
      <c r="B416" s="396" t="s">
        <v>13</v>
      </c>
      <c r="C416" s="396" t="s">
        <v>491</v>
      </c>
      <c r="D416" s="389">
        <f>$F$3</f>
        <v>2021</v>
      </c>
      <c r="E416" s="390">
        <f>'שכר ומשרות'!L27</f>
        <v>6183</v>
      </c>
      <c r="F416" s="397"/>
      <c r="G416" s="392"/>
      <c r="H416" s="454"/>
      <c r="I416" s="390"/>
      <c r="J416" s="518"/>
      <c r="K416" s="545"/>
      <c r="L416" s="339"/>
      <c r="M416" s="557"/>
      <c r="N416" s="281"/>
    </row>
    <row r="417" spans="1:16" ht="23.25" customHeight="1">
      <c r="A417" s="395"/>
      <c r="B417" s="396" t="s">
        <v>13</v>
      </c>
      <c r="C417" s="396" t="s">
        <v>494</v>
      </c>
      <c r="D417" s="389">
        <f>$F$3</f>
        <v>2021</v>
      </c>
      <c r="E417" s="390">
        <f>'שכר ומשרות'!L24</f>
        <v>37412</v>
      </c>
      <c r="F417" s="397"/>
      <c r="G417" s="392"/>
      <c r="H417" s="454"/>
      <c r="I417" s="390"/>
      <c r="J417" s="518"/>
      <c r="K417" s="545"/>
      <c r="L417" s="339"/>
      <c r="M417" s="557"/>
      <c r="N417" s="281"/>
    </row>
    <row r="418" spans="1:16" ht="23.25" customHeight="1">
      <c r="A418" s="395"/>
      <c r="B418" s="396" t="s">
        <v>13</v>
      </c>
      <c r="C418" s="396" t="s">
        <v>71</v>
      </c>
      <c r="D418" s="389">
        <f>$F$3</f>
        <v>2021</v>
      </c>
      <c r="E418" s="390">
        <f>'שכר ומשרות'!L41</f>
        <v>24633</v>
      </c>
      <c r="F418" s="397"/>
      <c r="G418" s="392"/>
      <c r="H418" s="454"/>
      <c r="I418" s="390"/>
      <c r="J418" s="518"/>
      <c r="K418" s="545"/>
      <c r="L418" s="339"/>
      <c r="M418" s="557"/>
      <c r="N418" s="281"/>
    </row>
    <row r="419" spans="1:16" ht="23.25" customHeight="1">
      <c r="A419" s="395"/>
      <c r="B419" s="396"/>
      <c r="C419" s="396" t="s">
        <v>767</v>
      </c>
      <c r="D419" s="389"/>
      <c r="E419" s="398">
        <f>E412+E413+E414+E415-E416-E417+E418</f>
        <v>54648</v>
      </c>
      <c r="F419" s="397" t="s">
        <v>933</v>
      </c>
      <c r="G419" s="392" t="s">
        <v>501</v>
      </c>
      <c r="H419" s="454">
        <f>$F$3</f>
        <v>2021</v>
      </c>
      <c r="I419" s="390">
        <f>'תקציב רגיל'!G32</f>
        <v>58326</v>
      </c>
      <c r="J419" s="337" t="str">
        <f>IF(E419=I419,$B$3,"")</f>
        <v/>
      </c>
      <c r="K419" s="545">
        <f>IF(E419=I419,"",E419-I419)</f>
        <v>-3678</v>
      </c>
      <c r="L419" s="339" t="str">
        <f>IF(E419=I419,"",P419)</f>
        <v>קיים שוני בשכר הכללי בין נתוני השכר לנתוני התקציב.</v>
      </c>
      <c r="M419" s="557" t="s">
        <v>977</v>
      </c>
      <c r="N419" s="281"/>
      <c r="P419" s="58" t="s">
        <v>502</v>
      </c>
    </row>
    <row r="420" spans="1:16" ht="23.25" customHeight="1">
      <c r="A420" s="394"/>
      <c r="B420" s="392"/>
      <c r="C420" s="392"/>
      <c r="D420" s="389"/>
      <c r="E420" s="390"/>
      <c r="F420" s="391"/>
      <c r="G420" s="392"/>
      <c r="H420" s="454"/>
      <c r="I420" s="390"/>
      <c r="J420" s="337"/>
      <c r="K420" s="545"/>
      <c r="L420" s="339"/>
      <c r="M420" s="572"/>
      <c r="N420" s="281"/>
    </row>
    <row r="421" spans="1:16" ht="15.75">
      <c r="A421" s="358"/>
      <c r="B421" s="620" t="s">
        <v>503</v>
      </c>
      <c r="C421" s="620"/>
      <c r="D421" s="620"/>
      <c r="E421" s="620"/>
      <c r="F421" s="620"/>
      <c r="G421" s="620"/>
      <c r="H421" s="620"/>
      <c r="I421" s="620"/>
      <c r="J421" s="359"/>
      <c r="K421" s="549"/>
      <c r="L421" s="360"/>
      <c r="M421" s="371"/>
      <c r="N421" s="281"/>
    </row>
    <row r="422" spans="1:16" ht="37.5" customHeight="1">
      <c r="A422" s="394">
        <v>367</v>
      </c>
      <c r="B422" s="392" t="s">
        <v>504</v>
      </c>
      <c r="C422" s="392" t="s">
        <v>505</v>
      </c>
      <c r="D422" s="389">
        <f>$F$3</f>
        <v>2021</v>
      </c>
      <c r="E422" s="390"/>
      <c r="F422" s="391"/>
      <c r="G422" s="392"/>
      <c r="H422" s="454"/>
      <c r="I422" s="390"/>
      <c r="J422" s="337" t="str">
        <f>IF('בעלי שכר גבוה'!B6&lt;&gt;"","",$B$3)</f>
        <v>תקין</v>
      </c>
      <c r="K422" s="545"/>
      <c r="L422" s="339" t="str">
        <f>IF('בעלי שכר גבוה'!B6&lt;&gt;"",P422,"")</f>
        <v/>
      </c>
      <c r="M422" s="557"/>
      <c r="N422" s="281"/>
      <c r="P422" s="42" t="s">
        <v>511</v>
      </c>
    </row>
    <row r="423" spans="1:16" ht="23.25" customHeight="1">
      <c r="A423" s="394">
        <v>368</v>
      </c>
      <c r="B423" s="392" t="s">
        <v>504</v>
      </c>
      <c r="C423" s="392" t="s">
        <v>512</v>
      </c>
      <c r="D423" s="389">
        <f>$F$3</f>
        <v>2021</v>
      </c>
      <c r="E423" s="390"/>
      <c r="F423" s="391"/>
      <c r="G423" s="392"/>
      <c r="H423" s="454"/>
      <c r="I423" s="390"/>
      <c r="J423" s="337" t="str">
        <f>IF(AND(OR(('הגדרות כלליות'!D17=2),('הגדרות כלליות'!D17=4)),('בעלי שכר גבוה'!Z39&lt;3)),"",$B$3)</f>
        <v>תקין</v>
      </c>
      <c r="K423" s="545" t="str">
        <f>IF(AND(OR(('הגדרות כלליות'!D17=2),('הגדרות כלליות'!D17=4)),('בעלי שכר גבוה'!Z39&lt;3)),'בעלי שכר גבוה'!Z39,"")</f>
        <v/>
      </c>
      <c r="L423" s="339" t="str">
        <f>IF(AND(OR(('הגדרות כלליות'!D17=2),('הגדרות כלליות'!D17=4)),('בעלי שכר גבוה'!Z39&lt;3)),P423,"")</f>
        <v/>
      </c>
      <c r="M423" s="556"/>
      <c r="N423" s="281"/>
      <c r="P423" s="42" t="s">
        <v>513</v>
      </c>
    </row>
    <row r="424" spans="1:16" ht="23.25" customHeight="1">
      <c r="A424" s="394"/>
      <c r="B424" s="392"/>
      <c r="C424" s="392"/>
      <c r="D424" s="389"/>
      <c r="E424" s="390"/>
      <c r="F424" s="391"/>
      <c r="G424" s="392"/>
      <c r="H424" s="454"/>
      <c r="I424" s="390"/>
      <c r="J424" s="337"/>
      <c r="K424" s="338"/>
      <c r="L424" s="339"/>
      <c r="M424" s="399"/>
      <c r="N424" s="281"/>
    </row>
    <row r="425" spans="1:16" ht="23.25" customHeight="1">
      <c r="A425" s="394"/>
      <c r="B425" s="392"/>
      <c r="C425" s="392"/>
      <c r="D425" s="389"/>
      <c r="E425" s="390"/>
      <c r="F425" s="391"/>
      <c r="G425" s="392"/>
      <c r="H425" s="454"/>
      <c r="I425" s="390"/>
      <c r="J425" s="337"/>
      <c r="K425" s="338"/>
      <c r="L425" s="339"/>
      <c r="M425" s="399"/>
      <c r="N425" s="281"/>
    </row>
    <row r="426" spans="1:16" ht="23.25" customHeight="1">
      <c r="A426" s="394"/>
      <c r="B426" s="392"/>
      <c r="C426" s="392"/>
      <c r="D426" s="389"/>
      <c r="E426" s="390"/>
      <c r="F426" s="391"/>
      <c r="G426" s="392"/>
      <c r="H426" s="454"/>
      <c r="I426" s="390"/>
      <c r="J426" s="337"/>
      <c r="K426" s="338"/>
      <c r="L426" s="339"/>
      <c r="M426" s="399"/>
      <c r="N426" s="281"/>
    </row>
    <row r="427" spans="1:16" ht="23.25" customHeight="1">
      <c r="A427" s="394"/>
      <c r="B427" s="392"/>
      <c r="C427" s="392"/>
      <c r="D427" s="389"/>
      <c r="E427" s="390"/>
      <c r="F427" s="391"/>
      <c r="G427" s="392"/>
      <c r="H427" s="454"/>
      <c r="I427" s="390"/>
      <c r="J427" s="337"/>
      <c r="K427" s="338"/>
      <c r="L427" s="339"/>
      <c r="M427" s="399"/>
      <c r="N427" s="281"/>
    </row>
    <row r="428" spans="1:16" ht="23.25" customHeight="1">
      <c r="A428" s="394"/>
      <c r="B428" s="392"/>
      <c r="C428" s="392"/>
      <c r="D428" s="389"/>
      <c r="E428" s="390"/>
      <c r="F428" s="391"/>
      <c r="G428" s="392"/>
      <c r="H428" s="454"/>
      <c r="I428" s="390"/>
      <c r="J428" s="337"/>
      <c r="K428" s="338"/>
      <c r="L428" s="339"/>
      <c r="M428" s="399"/>
      <c r="N428" s="281"/>
    </row>
    <row r="429" spans="1:16" ht="23.25" customHeight="1">
      <c r="A429" s="394"/>
      <c r="B429" s="392"/>
      <c r="C429" s="392"/>
      <c r="D429" s="389"/>
      <c r="E429" s="390"/>
      <c r="F429" s="391"/>
      <c r="G429" s="392"/>
      <c r="H429" s="454"/>
      <c r="I429" s="390"/>
      <c r="J429" s="337"/>
      <c r="K429" s="338"/>
      <c r="L429" s="339"/>
      <c r="M429" s="399"/>
      <c r="N429" s="281"/>
    </row>
    <row r="430" spans="1:16" ht="23.25" customHeight="1">
      <c r="A430" s="394"/>
      <c r="B430" s="392"/>
      <c r="C430" s="392"/>
      <c r="D430" s="389"/>
      <c r="E430" s="390"/>
      <c r="F430" s="391"/>
      <c r="G430" s="392"/>
      <c r="H430" s="454"/>
      <c r="I430" s="390"/>
      <c r="J430" s="337"/>
      <c r="K430" s="338"/>
      <c r="L430" s="339"/>
      <c r="M430" s="399"/>
      <c r="N430" s="281"/>
    </row>
    <row r="431" spans="1:16" ht="23.25" customHeight="1">
      <c r="A431" s="394"/>
      <c r="B431" s="392"/>
      <c r="C431" s="392"/>
      <c r="D431" s="389"/>
      <c r="E431" s="390"/>
      <c r="F431" s="391"/>
      <c r="G431" s="392"/>
      <c r="H431" s="454"/>
      <c r="I431" s="390"/>
      <c r="J431" s="337"/>
      <c r="K431" s="338"/>
      <c r="L431" s="339"/>
      <c r="M431" s="399"/>
      <c r="N431" s="281"/>
    </row>
    <row r="432" spans="1:16" ht="23.25" customHeight="1">
      <c r="A432" s="394"/>
      <c r="B432" s="392"/>
      <c r="C432" s="392"/>
      <c r="D432" s="389"/>
      <c r="E432" s="390"/>
      <c r="F432" s="391"/>
      <c r="G432" s="392"/>
      <c r="H432" s="454"/>
      <c r="I432" s="390"/>
      <c r="J432" s="337"/>
      <c r="K432" s="338"/>
      <c r="L432" s="339"/>
      <c r="M432" s="399"/>
      <c r="N432" s="281"/>
    </row>
    <row r="433" spans="1:14" ht="23.25" customHeight="1">
      <c r="A433" s="394"/>
      <c r="B433" s="392"/>
      <c r="C433" s="392"/>
      <c r="D433" s="389"/>
      <c r="E433" s="390"/>
      <c r="F433" s="391"/>
      <c r="G433" s="392"/>
      <c r="H433" s="454"/>
      <c r="I433" s="390"/>
      <c r="J433" s="337"/>
      <c r="K433" s="338"/>
      <c r="L433" s="339"/>
      <c r="M433" s="399"/>
      <c r="N433" s="281"/>
    </row>
    <row r="434" spans="1:14" ht="23.25" customHeight="1">
      <c r="A434" s="394"/>
      <c r="B434" s="392"/>
      <c r="C434" s="392"/>
      <c r="D434" s="389"/>
      <c r="E434" s="390"/>
      <c r="F434" s="391"/>
      <c r="G434" s="392"/>
      <c r="H434" s="454"/>
      <c r="I434" s="390"/>
      <c r="J434" s="337"/>
      <c r="K434" s="338"/>
      <c r="L434" s="339"/>
      <c r="M434" s="399"/>
      <c r="N434" s="281"/>
    </row>
    <row r="435" spans="1:14" ht="23.25" customHeight="1">
      <c r="A435" s="394"/>
      <c r="B435" s="392"/>
      <c r="C435" s="392"/>
      <c r="D435" s="389"/>
      <c r="E435" s="390"/>
      <c r="F435" s="391"/>
      <c r="G435" s="392"/>
      <c r="H435" s="454"/>
      <c r="I435" s="390"/>
      <c r="J435" s="337"/>
      <c r="K435" s="338"/>
      <c r="L435" s="339"/>
      <c r="M435" s="399"/>
      <c r="N435" s="281"/>
    </row>
    <row r="436" spans="1:14" ht="23.25" customHeight="1">
      <c r="A436" s="394"/>
      <c r="B436" s="392"/>
      <c r="C436" s="392"/>
      <c r="D436" s="389"/>
      <c r="E436" s="390"/>
      <c r="F436" s="391"/>
      <c r="G436" s="392"/>
      <c r="H436" s="454"/>
      <c r="I436" s="390"/>
      <c r="J436" s="337"/>
      <c r="K436" s="338"/>
      <c r="L436" s="339"/>
      <c r="M436" s="399"/>
      <c r="N436" s="281"/>
    </row>
    <row r="437" spans="1:14" ht="23.25" customHeight="1">
      <c r="A437" s="394"/>
      <c r="B437" s="392"/>
      <c r="C437" s="392"/>
      <c r="D437" s="389"/>
      <c r="E437" s="390"/>
      <c r="F437" s="391"/>
      <c r="G437" s="392"/>
      <c r="H437" s="454"/>
      <c r="I437" s="390"/>
      <c r="J437" s="337"/>
      <c r="K437" s="338"/>
      <c r="L437" s="339"/>
      <c r="M437" s="399"/>
      <c r="N437" s="281"/>
    </row>
    <row r="438" spans="1:14" ht="23.25" customHeight="1">
      <c r="A438" s="394"/>
      <c r="B438" s="392"/>
      <c r="C438" s="392"/>
      <c r="D438" s="389"/>
      <c r="E438" s="390"/>
      <c r="F438" s="391"/>
      <c r="G438" s="392"/>
      <c r="H438" s="454"/>
      <c r="I438" s="390"/>
      <c r="J438" s="337"/>
      <c r="K438" s="338"/>
      <c r="L438" s="339"/>
      <c r="M438" s="399"/>
      <c r="N438" s="281"/>
    </row>
    <row r="439" spans="1:14" ht="23.25" customHeight="1">
      <c r="A439" s="394"/>
      <c r="B439" s="392"/>
      <c r="C439" s="392"/>
      <c r="D439" s="389"/>
      <c r="E439" s="390"/>
      <c r="F439" s="391"/>
      <c r="G439" s="392"/>
      <c r="H439" s="454"/>
      <c r="I439" s="390"/>
      <c r="J439" s="337"/>
      <c r="K439" s="338"/>
      <c r="L439" s="339"/>
      <c r="M439" s="399"/>
      <c r="N439" s="281"/>
    </row>
    <row r="440" spans="1:14" ht="23.25" customHeight="1">
      <c r="A440" s="394"/>
      <c r="B440" s="392"/>
      <c r="C440" s="392"/>
      <c r="D440" s="389"/>
      <c r="E440" s="390"/>
      <c r="F440" s="391"/>
      <c r="G440" s="392"/>
      <c r="H440" s="454"/>
      <c r="I440" s="390"/>
      <c r="J440" s="337"/>
      <c r="K440" s="338"/>
      <c r="L440" s="339"/>
      <c r="M440" s="399"/>
      <c r="N440" s="281"/>
    </row>
    <row r="441" spans="1:14" ht="23.25" customHeight="1">
      <c r="A441" s="394"/>
      <c r="B441" s="392"/>
      <c r="C441" s="392"/>
      <c r="D441" s="389"/>
      <c r="E441" s="390"/>
      <c r="F441" s="391"/>
      <c r="G441" s="392"/>
      <c r="H441" s="454"/>
      <c r="I441" s="390"/>
      <c r="J441" s="337"/>
      <c r="K441" s="338"/>
      <c r="L441" s="339"/>
      <c r="M441" s="399"/>
      <c r="N441" s="281"/>
    </row>
    <row r="442" spans="1:14" ht="23.25" customHeight="1">
      <c r="A442" s="394"/>
      <c r="B442" s="392"/>
      <c r="C442" s="392"/>
      <c r="D442" s="389"/>
      <c r="E442" s="390"/>
      <c r="F442" s="391"/>
      <c r="G442" s="392"/>
      <c r="H442" s="454"/>
      <c r="I442" s="390"/>
      <c r="J442" s="337"/>
      <c r="K442" s="338"/>
      <c r="L442" s="339"/>
      <c r="M442" s="399"/>
      <c r="N442" s="281"/>
    </row>
    <row r="443" spans="1:14" ht="23.25" customHeight="1">
      <c r="A443" s="394"/>
      <c r="B443" s="392"/>
      <c r="C443" s="392"/>
      <c r="D443" s="389"/>
      <c r="E443" s="390"/>
      <c r="F443" s="391"/>
      <c r="G443" s="392"/>
      <c r="H443" s="454"/>
      <c r="I443" s="390"/>
      <c r="J443" s="337"/>
      <c r="K443" s="338"/>
      <c r="L443" s="339"/>
      <c r="M443" s="399"/>
      <c r="N443" s="281"/>
    </row>
    <row r="444" spans="1:14" ht="23.25" customHeight="1">
      <c r="A444" s="394"/>
      <c r="B444" s="392"/>
      <c r="C444" s="392"/>
      <c r="D444" s="389"/>
      <c r="E444" s="390"/>
      <c r="F444" s="391"/>
      <c r="G444" s="392"/>
      <c r="H444" s="454"/>
      <c r="I444" s="390"/>
      <c r="J444" s="337"/>
      <c r="K444" s="338"/>
      <c r="L444" s="339"/>
      <c r="M444" s="399"/>
      <c r="N444" s="281"/>
    </row>
    <row r="445" spans="1:14" ht="23.25" customHeight="1">
      <c r="A445" s="394"/>
      <c r="B445" s="392"/>
      <c r="C445" s="392"/>
      <c r="D445" s="389"/>
      <c r="E445" s="390"/>
      <c r="F445" s="391"/>
      <c r="G445" s="392"/>
      <c r="H445" s="454"/>
      <c r="I445" s="390"/>
      <c r="J445" s="337"/>
      <c r="K445" s="338"/>
      <c r="L445" s="339"/>
      <c r="M445" s="399"/>
      <c r="N445" s="281"/>
    </row>
    <row r="446" spans="1:14" ht="23.25" customHeight="1">
      <c r="A446" s="394"/>
      <c r="B446" s="392"/>
      <c r="C446" s="392"/>
      <c r="D446" s="389"/>
      <c r="E446" s="390"/>
      <c r="F446" s="391"/>
      <c r="G446" s="392"/>
      <c r="H446" s="454"/>
      <c r="I446" s="390"/>
      <c r="J446" s="337"/>
      <c r="K446" s="338"/>
      <c r="L446" s="339"/>
      <c r="M446" s="399"/>
      <c r="N446" s="281"/>
    </row>
    <row r="447" spans="1:14" ht="23.25" customHeight="1">
      <c r="A447" s="394"/>
      <c r="B447" s="392"/>
      <c r="C447" s="392"/>
      <c r="D447" s="389"/>
      <c r="E447" s="390"/>
      <c r="F447" s="391"/>
      <c r="G447" s="392"/>
      <c r="H447" s="454"/>
      <c r="I447" s="390"/>
      <c r="J447" s="337"/>
      <c r="K447" s="338"/>
      <c r="L447" s="339"/>
      <c r="M447" s="399"/>
      <c r="N447" s="281"/>
    </row>
    <row r="448" spans="1:14" ht="23.25" customHeight="1">
      <c r="A448" s="394"/>
      <c r="B448" s="392"/>
      <c r="C448" s="392"/>
      <c r="D448" s="389"/>
      <c r="E448" s="390"/>
      <c r="F448" s="391"/>
      <c r="G448" s="392"/>
      <c r="H448" s="454"/>
      <c r="I448" s="390"/>
      <c r="J448" s="337"/>
      <c r="K448" s="338"/>
      <c r="L448" s="339"/>
      <c r="M448" s="399"/>
      <c r="N448" s="281"/>
    </row>
    <row r="449" spans="1:14" ht="23.25" customHeight="1">
      <c r="A449" s="394"/>
      <c r="B449" s="392"/>
      <c r="C449" s="392"/>
      <c r="D449" s="389"/>
      <c r="E449" s="390"/>
      <c r="F449" s="391"/>
      <c r="G449" s="392"/>
      <c r="H449" s="454"/>
      <c r="I449" s="390"/>
      <c r="J449" s="337"/>
      <c r="K449" s="338"/>
      <c r="L449" s="339"/>
      <c r="M449" s="399"/>
      <c r="N449" s="281"/>
    </row>
    <row r="450" spans="1:14" ht="23.25" customHeight="1">
      <c r="A450" s="394"/>
      <c r="B450" s="392"/>
      <c r="C450" s="392"/>
      <c r="D450" s="389"/>
      <c r="E450" s="390"/>
      <c r="F450" s="391"/>
      <c r="G450" s="392"/>
      <c r="H450" s="454"/>
      <c r="I450" s="390"/>
      <c r="J450" s="337"/>
      <c r="K450" s="338"/>
      <c r="L450" s="339"/>
      <c r="M450" s="399"/>
      <c r="N450" s="281"/>
    </row>
    <row r="451" spans="1:14" ht="23.25" customHeight="1">
      <c r="A451" s="394"/>
      <c r="B451" s="392"/>
      <c r="C451" s="392"/>
      <c r="D451" s="389"/>
      <c r="E451" s="390"/>
      <c r="F451" s="391"/>
      <c r="G451" s="392"/>
      <c r="H451" s="454"/>
      <c r="I451" s="390"/>
      <c r="J451" s="337"/>
      <c r="K451" s="338"/>
      <c r="L451" s="339"/>
      <c r="M451" s="399"/>
      <c r="N451" s="281"/>
    </row>
    <row r="452" spans="1:14" ht="23.25" customHeight="1">
      <c r="A452" s="394"/>
      <c r="B452" s="392"/>
      <c r="C452" s="392"/>
      <c r="D452" s="389"/>
      <c r="E452" s="390"/>
      <c r="F452" s="391"/>
      <c r="G452" s="392"/>
      <c r="H452" s="454"/>
      <c r="I452" s="390"/>
      <c r="J452" s="337"/>
      <c r="K452" s="338"/>
      <c r="L452" s="339"/>
      <c r="M452" s="399"/>
      <c r="N452" s="281"/>
    </row>
    <row r="453" spans="1:14" ht="23.25" customHeight="1">
      <c r="A453" s="394"/>
      <c r="B453" s="392"/>
      <c r="C453" s="392"/>
      <c r="D453" s="389"/>
      <c r="E453" s="390"/>
      <c r="F453" s="391"/>
      <c r="G453" s="392"/>
      <c r="H453" s="454"/>
      <c r="I453" s="390"/>
      <c r="J453" s="337"/>
      <c r="K453" s="338"/>
      <c r="L453" s="339"/>
      <c r="M453" s="399"/>
      <c r="N453" s="281"/>
    </row>
    <row r="454" spans="1:14" ht="23.25" customHeight="1">
      <c r="A454" s="394"/>
      <c r="B454" s="392"/>
      <c r="C454" s="392"/>
      <c r="D454" s="389"/>
      <c r="E454" s="390"/>
      <c r="F454" s="391"/>
      <c r="G454" s="392"/>
      <c r="H454" s="454"/>
      <c r="I454" s="390"/>
      <c r="J454" s="337"/>
      <c r="K454" s="338"/>
      <c r="L454" s="339"/>
      <c r="M454" s="399"/>
      <c r="N454" s="281"/>
    </row>
    <row r="455" spans="1:14" ht="23.25" customHeight="1">
      <c r="A455" s="394"/>
      <c r="B455" s="392"/>
      <c r="C455" s="392"/>
      <c r="D455" s="389"/>
      <c r="E455" s="390"/>
      <c r="F455" s="391"/>
      <c r="G455" s="392"/>
      <c r="H455" s="454"/>
      <c r="I455" s="390"/>
      <c r="J455" s="337"/>
      <c r="K455" s="338"/>
      <c r="L455" s="339"/>
      <c r="M455" s="399"/>
      <c r="N455" s="281"/>
    </row>
    <row r="456" spans="1:14" ht="23.25" customHeight="1">
      <c r="A456" s="394"/>
      <c r="B456" s="392"/>
      <c r="C456" s="392"/>
      <c r="D456" s="389"/>
      <c r="E456" s="390"/>
      <c r="F456" s="391"/>
      <c r="G456" s="392"/>
      <c r="H456" s="454"/>
      <c r="I456" s="390"/>
      <c r="J456" s="337"/>
      <c r="K456" s="338"/>
      <c r="L456" s="339"/>
      <c r="M456" s="399"/>
      <c r="N456" s="281"/>
    </row>
    <row r="457" spans="1:14" ht="23.25" customHeight="1">
      <c r="A457" s="394"/>
      <c r="B457" s="392"/>
      <c r="C457" s="392"/>
      <c r="D457" s="389"/>
      <c r="E457" s="390"/>
      <c r="F457" s="391"/>
      <c r="G457" s="392"/>
      <c r="H457" s="454"/>
      <c r="I457" s="390"/>
      <c r="J457" s="337"/>
      <c r="K457" s="338"/>
      <c r="L457" s="339"/>
      <c r="M457" s="399"/>
      <c r="N457" s="281"/>
    </row>
    <row r="458" spans="1:14" ht="23.25" customHeight="1">
      <c r="A458" s="394"/>
      <c r="B458" s="392"/>
      <c r="C458" s="392"/>
      <c r="D458" s="389"/>
      <c r="E458" s="390"/>
      <c r="F458" s="391"/>
      <c r="G458" s="392"/>
      <c r="H458" s="454"/>
      <c r="I458" s="390"/>
      <c r="J458" s="337"/>
      <c r="K458" s="338"/>
      <c r="L458" s="339"/>
      <c r="M458" s="399"/>
      <c r="N458" s="281"/>
    </row>
    <row r="459" spans="1:14" ht="23.25" customHeight="1">
      <c r="A459" s="394"/>
      <c r="B459" s="392"/>
      <c r="C459" s="392"/>
      <c r="D459" s="389"/>
      <c r="E459" s="390"/>
      <c r="F459" s="391"/>
      <c r="G459" s="392"/>
      <c r="H459" s="454"/>
      <c r="I459" s="390"/>
      <c r="J459" s="337"/>
      <c r="K459" s="338"/>
      <c r="L459" s="339"/>
      <c r="M459" s="399"/>
      <c r="N459" s="281"/>
    </row>
    <row r="460" spans="1:14" ht="23.25" customHeight="1">
      <c r="A460" s="394"/>
      <c r="B460" s="392"/>
      <c r="C460" s="392"/>
      <c r="D460" s="389"/>
      <c r="E460" s="390"/>
      <c r="F460" s="391"/>
      <c r="G460" s="392"/>
      <c r="H460" s="454"/>
      <c r="I460" s="390"/>
      <c r="J460" s="337"/>
      <c r="K460" s="338"/>
      <c r="L460" s="339"/>
      <c r="M460" s="399"/>
      <c r="N460" s="281"/>
    </row>
    <row r="461" spans="1:14" ht="23.25" customHeight="1">
      <c r="A461" s="394"/>
      <c r="B461" s="392"/>
      <c r="C461" s="392"/>
      <c r="D461" s="389"/>
      <c r="E461" s="390"/>
      <c r="F461" s="391"/>
      <c r="G461" s="392"/>
      <c r="H461" s="454"/>
      <c r="I461" s="390"/>
      <c r="J461" s="337"/>
      <c r="K461" s="338"/>
      <c r="L461" s="339"/>
      <c r="M461" s="399"/>
      <c r="N461" s="281"/>
    </row>
    <row r="462" spans="1:14" ht="23.25" customHeight="1">
      <c r="A462" s="394"/>
      <c r="B462" s="392"/>
      <c r="C462" s="392"/>
      <c r="D462" s="389"/>
      <c r="E462" s="390"/>
      <c r="F462" s="391"/>
      <c r="G462" s="392"/>
      <c r="H462" s="454"/>
      <c r="I462" s="390"/>
      <c r="J462" s="337"/>
      <c r="K462" s="338"/>
      <c r="L462" s="339"/>
      <c r="M462" s="399"/>
      <c r="N462" s="281"/>
    </row>
    <row r="463" spans="1:14" ht="23.25" customHeight="1">
      <c r="A463" s="394"/>
      <c r="B463" s="392"/>
      <c r="C463" s="392"/>
      <c r="D463" s="389"/>
      <c r="E463" s="390"/>
      <c r="F463" s="391"/>
      <c r="G463" s="392"/>
      <c r="H463" s="454"/>
      <c r="I463" s="390"/>
      <c r="J463" s="337"/>
      <c r="K463" s="338"/>
      <c r="L463" s="339"/>
      <c r="M463" s="399"/>
      <c r="N463" s="281"/>
    </row>
    <row r="464" spans="1:14" ht="23.25" customHeight="1">
      <c r="A464" s="394"/>
      <c r="B464" s="392"/>
      <c r="C464" s="392"/>
      <c r="D464" s="389"/>
      <c r="E464" s="390"/>
      <c r="F464" s="391"/>
      <c r="G464" s="392"/>
      <c r="H464" s="454"/>
      <c r="I464" s="390"/>
      <c r="J464" s="337"/>
      <c r="K464" s="338"/>
      <c r="L464" s="339"/>
      <c r="M464" s="399"/>
      <c r="N464" s="281"/>
    </row>
    <row r="465" spans="1:14" ht="23.25" customHeight="1">
      <c r="A465" s="394"/>
      <c r="B465" s="392"/>
      <c r="C465" s="392"/>
      <c r="D465" s="389"/>
      <c r="E465" s="390"/>
      <c r="F465" s="391"/>
      <c r="G465" s="392"/>
      <c r="H465" s="454"/>
      <c r="I465" s="390"/>
      <c r="J465" s="337"/>
      <c r="K465" s="338"/>
      <c r="L465" s="339"/>
      <c r="M465" s="399"/>
      <c r="N465" s="281"/>
    </row>
    <row r="466" spans="1:14" ht="23.25" customHeight="1">
      <c r="A466" s="394"/>
      <c r="B466" s="392"/>
      <c r="C466" s="392"/>
      <c r="D466" s="389"/>
      <c r="E466" s="390"/>
      <c r="F466" s="391"/>
      <c r="G466" s="392"/>
      <c r="H466" s="454"/>
      <c r="I466" s="390"/>
      <c r="J466" s="337"/>
      <c r="K466" s="338"/>
      <c r="L466" s="339"/>
      <c r="M466" s="399"/>
      <c r="N466" s="281"/>
    </row>
    <row r="467" spans="1:14" ht="23.25" customHeight="1">
      <c r="A467" s="394"/>
      <c r="B467" s="392"/>
      <c r="C467" s="392"/>
      <c r="D467" s="389"/>
      <c r="E467" s="390"/>
      <c r="F467" s="391"/>
      <c r="G467" s="392"/>
      <c r="H467" s="454"/>
      <c r="I467" s="390"/>
      <c r="J467" s="337"/>
      <c r="K467" s="338"/>
      <c r="L467" s="339"/>
      <c r="M467" s="399"/>
      <c r="N467" s="281"/>
    </row>
    <row r="468" spans="1:14" ht="23.25" customHeight="1">
      <c r="A468" s="394"/>
      <c r="B468" s="392"/>
      <c r="C468" s="392"/>
      <c r="D468" s="389"/>
      <c r="E468" s="390"/>
      <c r="F468" s="391"/>
      <c r="G468" s="392"/>
      <c r="H468" s="454"/>
      <c r="I468" s="390"/>
      <c r="J468" s="337"/>
      <c r="K468" s="338"/>
      <c r="L468" s="339"/>
      <c r="M468" s="399"/>
      <c r="N468" s="281"/>
    </row>
    <row r="469" spans="1:14" ht="23.25" customHeight="1">
      <c r="A469" s="394"/>
      <c r="B469" s="392"/>
      <c r="C469" s="392"/>
      <c r="D469" s="389"/>
      <c r="E469" s="390"/>
      <c r="F469" s="391"/>
      <c r="G469" s="392"/>
      <c r="H469" s="454"/>
      <c r="I469" s="390"/>
      <c r="J469" s="337"/>
      <c r="K469" s="338"/>
      <c r="L469" s="339"/>
      <c r="M469" s="399"/>
      <c r="N469" s="281"/>
    </row>
    <row r="470" spans="1:14" ht="23.25" customHeight="1">
      <c r="A470" s="394"/>
      <c r="B470" s="392"/>
      <c r="C470" s="392"/>
      <c r="D470" s="389"/>
      <c r="E470" s="390"/>
      <c r="F470" s="391"/>
      <c r="G470" s="392"/>
      <c r="H470" s="454"/>
      <c r="I470" s="390"/>
      <c r="J470" s="337"/>
      <c r="K470" s="338"/>
      <c r="L470" s="339"/>
      <c r="M470" s="399"/>
      <c r="N470" s="281"/>
    </row>
    <row r="471" spans="1:14" ht="23.25" customHeight="1">
      <c r="A471" s="394"/>
      <c r="B471" s="392"/>
      <c r="C471" s="392"/>
      <c r="D471" s="389"/>
      <c r="E471" s="390"/>
      <c r="F471" s="391"/>
      <c r="G471" s="392"/>
      <c r="H471" s="454"/>
      <c r="I471" s="390"/>
      <c r="J471" s="337"/>
      <c r="K471" s="338"/>
      <c r="L471" s="339"/>
      <c r="M471" s="399"/>
      <c r="N471" s="281"/>
    </row>
    <row r="472" spans="1:14" ht="23.25" customHeight="1">
      <c r="A472" s="394"/>
      <c r="B472" s="392"/>
      <c r="C472" s="392"/>
      <c r="D472" s="389"/>
      <c r="E472" s="390"/>
      <c r="F472" s="391"/>
      <c r="G472" s="392"/>
      <c r="H472" s="454"/>
      <c r="I472" s="390"/>
      <c r="J472" s="337"/>
      <c r="K472" s="338"/>
      <c r="L472" s="339"/>
      <c r="M472" s="399"/>
      <c r="N472" s="281"/>
    </row>
    <row r="473" spans="1:14" ht="23.25" customHeight="1">
      <c r="A473" s="394"/>
      <c r="B473" s="392"/>
      <c r="C473" s="392"/>
      <c r="D473" s="389"/>
      <c r="E473" s="390"/>
      <c r="F473" s="391"/>
      <c r="G473" s="392"/>
      <c r="H473" s="454"/>
      <c r="I473" s="390"/>
      <c r="J473" s="337"/>
      <c r="K473" s="338"/>
      <c r="L473" s="339"/>
      <c r="M473" s="399"/>
      <c r="N473" s="281"/>
    </row>
    <row r="474" spans="1:14" ht="23.25" customHeight="1">
      <c r="A474" s="394"/>
      <c r="B474" s="392"/>
      <c r="C474" s="392"/>
      <c r="D474" s="389"/>
      <c r="E474" s="390"/>
      <c r="F474" s="391"/>
      <c r="G474" s="392"/>
      <c r="H474" s="454"/>
      <c r="I474" s="390"/>
      <c r="J474" s="337"/>
      <c r="K474" s="338"/>
      <c r="L474" s="339"/>
      <c r="M474" s="399"/>
      <c r="N474" s="281"/>
    </row>
    <row r="475" spans="1:14" ht="23.25" customHeight="1">
      <c r="A475" s="394"/>
      <c r="B475" s="392"/>
      <c r="C475" s="392"/>
      <c r="D475" s="389"/>
      <c r="E475" s="390"/>
      <c r="F475" s="391"/>
      <c r="G475" s="392"/>
      <c r="H475" s="454"/>
      <c r="I475" s="390"/>
      <c r="J475" s="337"/>
      <c r="K475" s="338"/>
      <c r="L475" s="339"/>
      <c r="M475" s="399"/>
      <c r="N475" s="281"/>
    </row>
    <row r="476" spans="1:14" ht="23.25" customHeight="1">
      <c r="A476" s="394"/>
      <c r="B476" s="392"/>
      <c r="C476" s="392"/>
      <c r="D476" s="389"/>
      <c r="E476" s="390"/>
      <c r="F476" s="391"/>
      <c r="G476" s="392"/>
      <c r="H476" s="454"/>
      <c r="I476" s="390"/>
      <c r="J476" s="337"/>
      <c r="K476" s="338"/>
      <c r="L476" s="339"/>
      <c r="M476" s="399"/>
      <c r="N476" s="281"/>
    </row>
    <row r="477" spans="1:14" ht="23.25" customHeight="1">
      <c r="A477" s="394"/>
      <c r="B477" s="392"/>
      <c r="C477" s="392"/>
      <c r="D477" s="389"/>
      <c r="E477" s="390"/>
      <c r="F477" s="391"/>
      <c r="G477" s="392"/>
      <c r="H477" s="454"/>
      <c r="I477" s="390"/>
      <c r="J477" s="337"/>
      <c r="K477" s="338"/>
      <c r="L477" s="339"/>
      <c r="M477" s="399"/>
      <c r="N477" s="281"/>
    </row>
    <row r="478" spans="1:14" ht="23.25" customHeight="1">
      <c r="A478" s="394"/>
      <c r="B478" s="392"/>
      <c r="C478" s="392"/>
      <c r="D478" s="389"/>
      <c r="E478" s="390"/>
      <c r="F478" s="391"/>
      <c r="G478" s="392"/>
      <c r="H478" s="454"/>
      <c r="I478" s="390"/>
      <c r="J478" s="337"/>
      <c r="K478" s="338"/>
      <c r="L478" s="339"/>
      <c r="M478" s="399"/>
      <c r="N478" s="281"/>
    </row>
    <row r="479" spans="1:14" ht="23.25" customHeight="1">
      <c r="A479" s="394"/>
      <c r="B479" s="392"/>
      <c r="C479" s="392"/>
      <c r="D479" s="389"/>
      <c r="E479" s="390"/>
      <c r="F479" s="391"/>
      <c r="G479" s="392"/>
      <c r="H479" s="454"/>
      <c r="I479" s="390"/>
      <c r="J479" s="337"/>
      <c r="K479" s="338"/>
      <c r="L479" s="339"/>
      <c r="M479" s="399"/>
      <c r="N479" s="281"/>
    </row>
    <row r="480" spans="1:14" ht="23.25" customHeight="1">
      <c r="A480" s="394"/>
      <c r="B480" s="392"/>
      <c r="C480" s="392"/>
      <c r="D480" s="389"/>
      <c r="E480" s="390"/>
      <c r="F480" s="391"/>
      <c r="G480" s="392"/>
      <c r="H480" s="454"/>
      <c r="I480" s="390"/>
      <c r="J480" s="337"/>
      <c r="K480" s="338"/>
      <c r="L480" s="339"/>
      <c r="M480" s="399"/>
      <c r="N480" s="281"/>
    </row>
    <row r="481" spans="1:14" ht="23.25" customHeight="1">
      <c r="A481" s="394"/>
      <c r="B481" s="392"/>
      <c r="C481" s="392"/>
      <c r="D481" s="389"/>
      <c r="E481" s="390"/>
      <c r="F481" s="391"/>
      <c r="G481" s="392"/>
      <c r="H481" s="454"/>
      <c r="I481" s="390"/>
      <c r="J481" s="337"/>
      <c r="K481" s="338"/>
      <c r="L481" s="339"/>
      <c r="M481" s="399"/>
      <c r="N481" s="281"/>
    </row>
    <row r="482" spans="1:14" ht="23.25" customHeight="1">
      <c r="A482" s="394"/>
      <c r="B482" s="392"/>
      <c r="C482" s="392"/>
      <c r="D482" s="389"/>
      <c r="E482" s="390"/>
      <c r="F482" s="391"/>
      <c r="G482" s="392"/>
      <c r="H482" s="454"/>
      <c r="I482" s="390"/>
      <c r="J482" s="337"/>
      <c r="K482" s="338"/>
      <c r="L482" s="339"/>
      <c r="M482" s="399"/>
      <c r="N482" s="281"/>
    </row>
    <row r="483" spans="1:14" ht="23.25" customHeight="1">
      <c r="A483" s="394"/>
      <c r="B483" s="392"/>
      <c r="C483" s="392"/>
      <c r="D483" s="389"/>
      <c r="E483" s="390"/>
      <c r="F483" s="391"/>
      <c r="G483" s="392"/>
      <c r="H483" s="454"/>
      <c r="I483" s="390"/>
      <c r="J483" s="337"/>
      <c r="K483" s="338"/>
      <c r="L483" s="339"/>
      <c r="M483" s="399"/>
      <c r="N483" s="281"/>
    </row>
    <row r="484" spans="1:14" ht="23.25" customHeight="1">
      <c r="A484" s="394"/>
      <c r="B484" s="392"/>
      <c r="C484" s="392"/>
      <c r="D484" s="389"/>
      <c r="E484" s="390"/>
      <c r="F484" s="391"/>
      <c r="G484" s="392"/>
      <c r="H484" s="454"/>
      <c r="I484" s="390"/>
      <c r="J484" s="337"/>
      <c r="K484" s="338"/>
      <c r="L484" s="339"/>
      <c r="M484" s="399"/>
      <c r="N484" s="281"/>
    </row>
    <row r="485" spans="1:14" ht="23.25" customHeight="1">
      <c r="A485" s="394"/>
      <c r="B485" s="392"/>
      <c r="C485" s="392"/>
      <c r="D485" s="389"/>
      <c r="E485" s="390"/>
      <c r="F485" s="391"/>
      <c r="G485" s="392"/>
      <c r="H485" s="454"/>
      <c r="I485" s="390"/>
      <c r="J485" s="337"/>
      <c r="K485" s="338"/>
      <c r="L485" s="339"/>
      <c r="M485" s="399"/>
      <c r="N485" s="281"/>
    </row>
    <row r="486" spans="1:14" ht="23.25" customHeight="1">
      <c r="A486" s="394"/>
      <c r="B486" s="392"/>
      <c r="C486" s="392"/>
      <c r="D486" s="389"/>
      <c r="E486" s="390"/>
      <c r="F486" s="391"/>
      <c r="G486" s="392"/>
      <c r="H486" s="454"/>
      <c r="I486" s="390"/>
      <c r="J486" s="337"/>
      <c r="K486" s="338"/>
      <c r="L486" s="339"/>
      <c r="M486" s="399"/>
      <c r="N486" s="281"/>
    </row>
    <row r="487" spans="1:14" ht="23.25" customHeight="1">
      <c r="A487" s="394"/>
      <c r="B487" s="392"/>
      <c r="C487" s="392"/>
      <c r="D487" s="389"/>
      <c r="E487" s="390"/>
      <c r="F487" s="391"/>
      <c r="G487" s="392"/>
      <c r="H487" s="454"/>
      <c r="I487" s="390"/>
      <c r="J487" s="337"/>
      <c r="K487" s="338"/>
      <c r="L487" s="339"/>
      <c r="M487" s="399"/>
      <c r="N487" s="281"/>
    </row>
    <row r="488" spans="1:14" ht="23.25" customHeight="1">
      <c r="A488" s="394"/>
      <c r="B488" s="392"/>
      <c r="C488" s="392"/>
      <c r="D488" s="389"/>
      <c r="E488" s="390"/>
      <c r="F488" s="391"/>
      <c r="G488" s="392"/>
      <c r="H488" s="454"/>
      <c r="I488" s="390"/>
      <c r="J488" s="337"/>
      <c r="K488" s="338"/>
      <c r="L488" s="339"/>
      <c r="M488" s="399"/>
      <c r="N488" s="281"/>
    </row>
    <row r="489" spans="1:14" ht="23.25" customHeight="1">
      <c r="A489" s="394"/>
      <c r="B489" s="392"/>
      <c r="C489" s="392"/>
      <c r="D489" s="389"/>
      <c r="E489" s="390"/>
      <c r="F489" s="391"/>
      <c r="G489" s="392"/>
      <c r="H489" s="454"/>
      <c r="I489" s="390"/>
      <c r="J489" s="337"/>
      <c r="K489" s="338"/>
      <c r="L489" s="339"/>
      <c r="M489" s="399"/>
      <c r="N489" s="281"/>
    </row>
    <row r="490" spans="1:14" ht="23.25" customHeight="1">
      <c r="A490" s="394"/>
      <c r="B490" s="392"/>
      <c r="C490" s="392"/>
      <c r="D490" s="389"/>
      <c r="E490" s="390"/>
      <c r="F490" s="391"/>
      <c r="G490" s="392"/>
      <c r="H490" s="454"/>
      <c r="I490" s="390"/>
      <c r="J490" s="337"/>
      <c r="K490" s="338"/>
      <c r="L490" s="339"/>
      <c r="M490" s="399"/>
      <c r="N490" s="281"/>
    </row>
    <row r="491" spans="1:14" ht="23.25" customHeight="1">
      <c r="A491" s="394"/>
      <c r="B491" s="392"/>
      <c r="C491" s="392"/>
      <c r="D491" s="389"/>
      <c r="E491" s="390"/>
      <c r="F491" s="391"/>
      <c r="G491" s="392"/>
      <c r="H491" s="454"/>
      <c r="I491" s="390"/>
      <c r="J491" s="337"/>
      <c r="K491" s="338"/>
      <c r="L491" s="339"/>
      <c r="M491" s="399"/>
      <c r="N491" s="281"/>
    </row>
    <row r="492" spans="1:14" ht="23.25" customHeight="1">
      <c r="A492" s="394"/>
      <c r="B492" s="392"/>
      <c r="C492" s="392"/>
      <c r="D492" s="389"/>
      <c r="E492" s="390"/>
      <c r="F492" s="391"/>
      <c r="G492" s="392"/>
      <c r="H492" s="454"/>
      <c r="I492" s="390"/>
      <c r="J492" s="337"/>
      <c r="K492" s="338"/>
      <c r="L492" s="339"/>
      <c r="M492" s="399"/>
      <c r="N492" s="281"/>
    </row>
    <row r="493" spans="1:14" ht="23.25" customHeight="1">
      <c r="A493" s="394"/>
      <c r="B493" s="392"/>
      <c r="C493" s="392"/>
      <c r="D493" s="389"/>
      <c r="E493" s="390"/>
      <c r="F493" s="391"/>
      <c r="G493" s="392"/>
      <c r="H493" s="454"/>
      <c r="I493" s="390"/>
      <c r="J493" s="337"/>
      <c r="K493" s="338"/>
      <c r="L493" s="339"/>
      <c r="M493" s="399"/>
      <c r="N493" s="281"/>
    </row>
    <row r="494" spans="1:14" ht="23.25" customHeight="1">
      <c r="A494" s="394"/>
      <c r="B494" s="392"/>
      <c r="C494" s="392"/>
      <c r="D494" s="389"/>
      <c r="E494" s="390"/>
      <c r="F494" s="391"/>
      <c r="G494" s="392"/>
      <c r="H494" s="454"/>
      <c r="I494" s="390"/>
      <c r="J494" s="337"/>
      <c r="K494" s="338"/>
      <c r="L494" s="339"/>
      <c r="M494" s="399"/>
      <c r="N494" s="281"/>
    </row>
    <row r="495" spans="1:14" ht="23.25" customHeight="1">
      <c r="A495" s="394"/>
      <c r="B495" s="392"/>
      <c r="C495" s="392"/>
      <c r="D495" s="389"/>
      <c r="E495" s="390"/>
      <c r="F495" s="391"/>
      <c r="G495" s="392"/>
      <c r="H495" s="454"/>
      <c r="I495" s="390"/>
      <c r="J495" s="337"/>
      <c r="K495" s="338"/>
      <c r="L495" s="339"/>
      <c r="M495" s="399"/>
      <c r="N495" s="281"/>
    </row>
    <row r="496" spans="1:14" ht="23.25" customHeight="1">
      <c r="A496" s="394"/>
      <c r="B496" s="392"/>
      <c r="C496" s="392"/>
      <c r="D496" s="389"/>
      <c r="E496" s="390"/>
      <c r="F496" s="391"/>
      <c r="G496" s="392"/>
      <c r="H496" s="454"/>
      <c r="I496" s="390"/>
      <c r="J496" s="337"/>
      <c r="K496" s="338"/>
      <c r="L496" s="339"/>
      <c r="M496" s="399"/>
      <c r="N496" s="281"/>
    </row>
    <row r="497" spans="1:14" ht="23.25" customHeight="1">
      <c r="A497" s="394"/>
      <c r="B497" s="392"/>
      <c r="C497" s="392"/>
      <c r="D497" s="389"/>
      <c r="E497" s="390"/>
      <c r="F497" s="391"/>
      <c r="G497" s="392"/>
      <c r="H497" s="454"/>
      <c r="I497" s="390"/>
      <c r="J497" s="337"/>
      <c r="K497" s="338"/>
      <c r="L497" s="339"/>
      <c r="M497" s="399"/>
      <c r="N497" s="281"/>
    </row>
    <row r="498" spans="1:14" ht="23.25" customHeight="1">
      <c r="A498" s="394"/>
      <c r="B498" s="392"/>
      <c r="C498" s="392"/>
      <c r="D498" s="389"/>
      <c r="E498" s="390"/>
      <c r="F498" s="391"/>
      <c r="G498" s="392"/>
      <c r="H498" s="454"/>
      <c r="I498" s="390"/>
      <c r="J498" s="337"/>
      <c r="K498" s="338"/>
      <c r="L498" s="339"/>
      <c r="M498" s="399"/>
      <c r="N498" s="281"/>
    </row>
    <row r="499" spans="1:14" ht="23.25" customHeight="1">
      <c r="A499" s="394"/>
      <c r="B499" s="392"/>
      <c r="C499" s="392"/>
      <c r="D499" s="389"/>
      <c r="E499" s="390"/>
      <c r="F499" s="391"/>
      <c r="G499" s="392"/>
      <c r="H499" s="454"/>
      <c r="I499" s="390"/>
      <c r="J499" s="337"/>
      <c r="K499" s="338"/>
      <c r="L499" s="339"/>
      <c r="M499" s="399"/>
      <c r="N499" s="281"/>
    </row>
    <row r="500" spans="1:14" ht="23.25" customHeight="1">
      <c r="A500" s="394"/>
      <c r="B500" s="392"/>
      <c r="C500" s="392"/>
      <c r="D500" s="389"/>
      <c r="E500" s="390"/>
      <c r="F500" s="391"/>
      <c r="G500" s="392"/>
      <c r="H500" s="454"/>
      <c r="I500" s="390"/>
      <c r="J500" s="337"/>
      <c r="K500" s="338"/>
      <c r="L500" s="339"/>
      <c r="M500" s="399"/>
      <c r="N500" s="281"/>
    </row>
    <row r="501" spans="1:14">
      <c r="A501" s="394"/>
      <c r="B501" s="392"/>
      <c r="C501" s="392"/>
      <c r="D501" s="389"/>
      <c r="E501" s="390"/>
      <c r="F501" s="391"/>
      <c r="G501" s="392"/>
      <c r="H501" s="454"/>
      <c r="I501" s="390"/>
      <c r="J501" s="337"/>
      <c r="K501" s="338"/>
      <c r="L501" s="339"/>
      <c r="M501" s="399"/>
      <c r="N501" s="281"/>
    </row>
    <row r="502" spans="1:14">
      <c r="A502" s="400"/>
      <c r="B502" s="401"/>
      <c r="C502" s="401"/>
      <c r="D502" s="402"/>
      <c r="E502" s="403"/>
      <c r="F502" s="404"/>
      <c r="G502" s="401"/>
      <c r="H502" s="455"/>
      <c r="I502" s="403"/>
      <c r="J502" s="355"/>
      <c r="K502" s="356"/>
      <c r="L502" s="357"/>
      <c r="M502" s="405"/>
      <c r="N502" s="281"/>
    </row>
    <row r="503" spans="1:14" s="414" customFormat="1" ht="13.5" thickBot="1">
      <c r="A503" s="406"/>
      <c r="B503" s="407"/>
      <c r="C503" s="407"/>
      <c r="D503" s="408"/>
      <c r="E503" s="409"/>
      <c r="F503" s="407"/>
      <c r="G503" s="407"/>
      <c r="H503" s="456"/>
      <c r="I503" s="409"/>
      <c r="J503" s="410"/>
      <c r="K503" s="411"/>
      <c r="L503" s="412"/>
      <c r="M503" s="412"/>
      <c r="N503" s="413"/>
    </row>
    <row r="504" spans="1:14" ht="13.5" thickTop="1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8"/>
      <c r="I1" s="41"/>
    </row>
    <row r="2" spans="1:12" ht="19.5" thickTop="1" thickBot="1">
      <c r="A2" s="41"/>
      <c r="B2" s="41"/>
      <c r="C2" s="626" t="s">
        <v>587</v>
      </c>
      <c r="D2" s="627"/>
      <c r="E2" s="627"/>
      <c r="F2" s="627"/>
      <c r="G2" s="627"/>
      <c r="H2" s="628"/>
      <c r="I2" s="41"/>
    </row>
    <row r="3" spans="1:12" ht="19.5" thickTop="1" thickBot="1">
      <c r="A3" s="41"/>
      <c r="B3" s="41"/>
      <c r="C3" s="629" t="str">
        <f>CONCATENATE("ליום ",Date, " ב", MonthTitle, " ", Shana)</f>
        <v>ליום 31 במרץ 2021</v>
      </c>
      <c r="D3" s="630"/>
      <c r="E3" s="630"/>
      <c r="F3" s="630"/>
      <c r="G3" s="630"/>
      <c r="H3" s="631"/>
      <c r="I3" s="41"/>
      <c r="L3" s="42" t="str">
        <f>'הגדרות כלליות'!G28</f>
        <v>לא</v>
      </c>
    </row>
    <row r="4" spans="1:12" ht="25.5" customHeight="1" thickTop="1">
      <c r="A4" s="59" t="s">
        <v>584</v>
      </c>
      <c r="B4" s="59"/>
      <c r="C4" s="43"/>
      <c r="D4" s="585">
        <f>Shana</f>
        <v>2021</v>
      </c>
      <c r="E4" s="43"/>
      <c r="F4" s="585">
        <f>ShanaKodemet</f>
        <v>2020</v>
      </c>
      <c r="G4" s="43"/>
      <c r="H4" s="43"/>
      <c r="I4" s="44"/>
    </row>
    <row r="5" spans="1:12" ht="15.75" customHeight="1">
      <c r="A5" s="43"/>
      <c r="B5" s="581" t="s">
        <v>402</v>
      </c>
      <c r="C5" s="582"/>
      <c r="D5" s="583">
        <f>D30-D55</f>
        <v>0</v>
      </c>
      <c r="E5" s="582"/>
      <c r="F5" s="583">
        <f>F30-F55</f>
        <v>0</v>
      </c>
      <c r="G5" s="584"/>
      <c r="H5" s="43"/>
      <c r="I5" s="44"/>
    </row>
    <row r="6" spans="1:12">
      <c r="A6" s="43"/>
      <c r="B6" s="580"/>
      <c r="C6" s="580"/>
      <c r="D6" s="580"/>
      <c r="E6" s="580"/>
      <c r="F6" s="580"/>
      <c r="G6" s="580"/>
      <c r="H6" s="43"/>
      <c r="I6" s="44"/>
    </row>
    <row r="7" spans="1:12" ht="15" customHeight="1">
      <c r="A7" s="43"/>
      <c r="B7" s="578" t="s">
        <v>588</v>
      </c>
      <c r="C7" s="578"/>
      <c r="D7" s="579" t="str">
        <f>CONCATENATE(Date,".",Month,".",RIGHT(Shana,2))</f>
        <v>31.3.21</v>
      </c>
      <c r="E7" s="579"/>
      <c r="F7" s="579" t="str">
        <f>CONCATENATE("31.12.",RIGHT(ShanaKodemet,2))</f>
        <v>31.12.20</v>
      </c>
      <c r="G7" s="578" t="s">
        <v>943</v>
      </c>
      <c r="H7" s="43"/>
      <c r="I7" s="44"/>
    </row>
    <row r="8" spans="1:12" ht="21" customHeight="1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>
      <c r="A9" s="43"/>
      <c r="B9" s="46" t="s">
        <v>592</v>
      </c>
      <c r="C9" s="47"/>
      <c r="D9" s="50">
        <v>207301</v>
      </c>
      <c r="E9" s="47"/>
      <c r="F9" s="118">
        <v>91407</v>
      </c>
      <c r="G9" s="61"/>
      <c r="H9" s="43"/>
      <c r="I9" s="44"/>
    </row>
    <row r="10" spans="1:12">
      <c r="A10" s="43"/>
      <c r="B10" s="46" t="s">
        <v>593</v>
      </c>
      <c r="C10" s="47"/>
      <c r="D10" s="50">
        <f>13463+4996</f>
        <v>18459</v>
      </c>
      <c r="E10" s="47"/>
      <c r="F10" s="118">
        <v>13755</v>
      </c>
      <c r="G10" s="61"/>
      <c r="H10" s="43"/>
      <c r="I10" s="44"/>
    </row>
    <row r="11" spans="1:12">
      <c r="A11" s="43"/>
      <c r="B11" s="46" t="s">
        <v>594</v>
      </c>
      <c r="C11" s="47"/>
      <c r="D11" s="50">
        <v>1529</v>
      </c>
      <c r="E11" s="47"/>
      <c r="F11" s="118">
        <v>1402</v>
      </c>
      <c r="G11" s="61"/>
      <c r="H11" s="43"/>
      <c r="I11" s="44"/>
    </row>
    <row r="12" spans="1:12">
      <c r="A12" s="43"/>
      <c r="B12" s="46" t="s">
        <v>595</v>
      </c>
      <c r="C12" s="47"/>
      <c r="D12" s="51">
        <f>SUM(D9:D11)</f>
        <v>227289</v>
      </c>
      <c r="E12" s="47"/>
      <c r="F12" s="51">
        <f>SUM(F9:F11)</f>
        <v>106564</v>
      </c>
      <c r="G12" s="61"/>
      <c r="H12" s="43"/>
      <c r="I12" s="44"/>
    </row>
    <row r="13" spans="1:12">
      <c r="A13" s="43"/>
      <c r="B13" s="46" t="s">
        <v>596</v>
      </c>
      <c r="C13" s="47"/>
      <c r="D13" s="63">
        <v>405378</v>
      </c>
      <c r="E13" s="47"/>
      <c r="F13" s="122">
        <v>348565</v>
      </c>
      <c r="G13" s="61"/>
      <c r="H13" s="43"/>
      <c r="I13" s="44"/>
    </row>
    <row r="14" spans="1:12">
      <c r="A14" s="43"/>
      <c r="B14" s="46" t="s">
        <v>597</v>
      </c>
      <c r="C14" s="47"/>
      <c r="D14" s="50">
        <v>160483</v>
      </c>
      <c r="E14" s="47"/>
      <c r="F14" s="118">
        <v>160499</v>
      </c>
      <c r="G14" s="61"/>
      <c r="H14" s="43"/>
      <c r="I14" s="44"/>
    </row>
    <row r="15" spans="1:12">
      <c r="A15" s="43"/>
      <c r="B15" s="46" t="s">
        <v>598</v>
      </c>
      <c r="C15" s="47"/>
      <c r="D15" s="51">
        <f>SUM(D13:D14)</f>
        <v>565861</v>
      </c>
      <c r="E15" s="47"/>
      <c r="F15" s="51">
        <f>SUM(F13:F14)</f>
        <v>509064</v>
      </c>
      <c r="G15" s="61"/>
      <c r="H15" s="43"/>
      <c r="I15" s="44"/>
    </row>
    <row r="16" spans="1:12" ht="15" customHeight="1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>
      <c r="A17" s="43"/>
      <c r="B17" s="46" t="s">
        <v>599</v>
      </c>
      <c r="C17" s="47"/>
      <c r="D17" s="50">
        <v>126050</v>
      </c>
      <c r="E17" s="47"/>
      <c r="F17" s="118">
        <v>110031</v>
      </c>
      <c r="G17" s="61"/>
      <c r="H17" s="43"/>
      <c r="I17" s="44"/>
    </row>
    <row r="18" spans="1:10">
      <c r="A18" s="43"/>
      <c r="B18" s="46" t="s">
        <v>600</v>
      </c>
      <c r="C18" s="47"/>
      <c r="D18" s="50">
        <v>-8200</v>
      </c>
      <c r="E18" s="47"/>
      <c r="F18" s="118">
        <v>-14000</v>
      </c>
      <c r="G18" s="61"/>
      <c r="H18" s="43"/>
      <c r="I18" s="44"/>
    </row>
    <row r="19" spans="1:10">
      <c r="A19" s="43"/>
      <c r="B19" s="46" t="s">
        <v>601</v>
      </c>
      <c r="C19" s="47"/>
      <c r="D19" s="50">
        <v>4629</v>
      </c>
      <c r="E19" s="47"/>
      <c r="F19" s="118">
        <v>30019</v>
      </c>
      <c r="G19" s="61"/>
      <c r="H19" s="43"/>
      <c r="I19" s="44"/>
    </row>
    <row r="20" spans="1:10">
      <c r="A20" s="43"/>
      <c r="B20" s="46" t="s">
        <v>602</v>
      </c>
      <c r="C20" s="47"/>
      <c r="D20" s="51">
        <f>SUM(D17:D19)</f>
        <v>122479</v>
      </c>
      <c r="E20" s="47"/>
      <c r="F20" s="51">
        <f>SUM(F17:F19)</f>
        <v>126050</v>
      </c>
      <c r="G20" s="61"/>
      <c r="H20" s="43"/>
      <c r="I20" s="44"/>
    </row>
    <row r="21" spans="1:10">
      <c r="A21" s="43"/>
      <c r="B21" s="65" t="s">
        <v>603</v>
      </c>
      <c r="C21" s="47"/>
      <c r="D21" s="66"/>
      <c r="E21" s="47"/>
      <c r="F21" s="587"/>
      <c r="G21" s="61"/>
      <c r="H21" s="43"/>
      <c r="I21" s="44"/>
    </row>
    <row r="22" spans="1:10">
      <c r="A22" s="43"/>
      <c r="B22" s="46" t="s">
        <v>604</v>
      </c>
      <c r="C22" s="47"/>
      <c r="D22" s="66"/>
      <c r="E22" s="47"/>
      <c r="F22" s="587"/>
      <c r="G22" s="61"/>
      <c r="H22" s="43"/>
      <c r="I22" s="44"/>
    </row>
    <row r="23" spans="1:10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>
      <c r="A24" s="43"/>
      <c r="B24" s="46"/>
      <c r="C24" s="47"/>
      <c r="D24" s="68"/>
      <c r="E24" s="47"/>
      <c r="F24" s="68"/>
      <c r="G24" s="61"/>
      <c r="H24" s="43"/>
      <c r="I24" s="44"/>
    </row>
    <row r="25" spans="1:10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>
      <c r="A30" s="43"/>
      <c r="B30" s="46" t="s">
        <v>607</v>
      </c>
      <c r="C30" s="47"/>
      <c r="D30" s="71">
        <f>D12+D15+D20+D23+D28</f>
        <v>915629</v>
      </c>
      <c r="E30" s="47"/>
      <c r="F30" s="72">
        <f>F12+F15+F20+F23+F28</f>
        <v>741678</v>
      </c>
      <c r="G30" s="61"/>
      <c r="H30" s="43"/>
      <c r="I30" s="44"/>
    </row>
    <row r="31" spans="1:10" ht="30" customHeight="1" thickTop="1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>
      <c r="A33" s="43"/>
      <c r="B33" s="46" t="s">
        <v>610</v>
      </c>
      <c r="C33" s="47"/>
      <c r="D33" s="50"/>
      <c r="E33" s="47"/>
      <c r="F33" s="118"/>
      <c r="G33" s="61"/>
      <c r="H33" s="43"/>
      <c r="I33" s="44"/>
    </row>
    <row r="34" spans="1:9">
      <c r="A34" s="43"/>
      <c r="B34" s="65" t="s">
        <v>611</v>
      </c>
      <c r="C34" s="47"/>
      <c r="D34" s="50">
        <v>2288</v>
      </c>
      <c r="E34" s="47"/>
      <c r="F34" s="118">
        <v>2044</v>
      </c>
      <c r="G34" s="61"/>
      <c r="H34" s="43"/>
      <c r="I34" s="44"/>
    </row>
    <row r="35" spans="1:9">
      <c r="A35" s="43"/>
      <c r="B35" s="65" t="s">
        <v>2</v>
      </c>
      <c r="C35" s="47"/>
      <c r="D35" s="50">
        <f>31821+6137</f>
        <v>37958</v>
      </c>
      <c r="E35" s="47"/>
      <c r="F35" s="118">
        <v>32559</v>
      </c>
      <c r="G35" s="61"/>
      <c r="H35" s="43"/>
      <c r="I35" s="44"/>
    </row>
    <row r="36" spans="1:9">
      <c r="A36" s="43"/>
      <c r="B36" s="65" t="s">
        <v>3</v>
      </c>
      <c r="C36" s="47"/>
      <c r="D36" s="50">
        <f>70679-1+12336-3048-109</f>
        <v>79857</v>
      </c>
      <c r="E36" s="47"/>
      <c r="F36" s="118">
        <v>90690</v>
      </c>
      <c r="G36" s="61"/>
      <c r="H36" s="43"/>
      <c r="I36" s="44"/>
    </row>
    <row r="37" spans="1:9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>
      <c r="A38" s="43"/>
      <c r="B38" s="46" t="s">
        <v>613</v>
      </c>
      <c r="C38" s="47"/>
      <c r="D38" s="50">
        <f>49918+6973+594+2439</f>
        <v>59924</v>
      </c>
      <c r="E38" s="47"/>
      <c r="F38" s="118">
        <v>35120</v>
      </c>
      <c r="G38" s="61"/>
      <c r="H38" s="43"/>
      <c r="I38" s="44"/>
    </row>
    <row r="39" spans="1:9" ht="12.75" customHeight="1">
      <c r="A39" s="43"/>
      <c r="B39" s="46" t="s">
        <v>614</v>
      </c>
      <c r="C39" s="47"/>
      <c r="D39" s="51">
        <f>SUM(D33:D38)</f>
        <v>180027</v>
      </c>
      <c r="E39" s="47"/>
      <c r="F39" s="51">
        <f>SUM(F33:F38)</f>
        <v>160413</v>
      </c>
      <c r="G39" s="61"/>
      <c r="H39" s="43"/>
      <c r="I39" s="44"/>
    </row>
    <row r="40" spans="1:9" ht="12.75" customHeight="1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>
      <c r="A41" s="43"/>
      <c r="B41" s="65" t="s">
        <v>942</v>
      </c>
      <c r="C41" s="47"/>
      <c r="D41" s="50">
        <v>247749</v>
      </c>
      <c r="E41" s="47"/>
      <c r="F41" s="118">
        <v>104764</v>
      </c>
      <c r="G41" s="61"/>
      <c r="H41" s="43"/>
      <c r="I41" s="44"/>
    </row>
    <row r="42" spans="1:9" ht="1.5" customHeight="1">
      <c r="A42" s="43"/>
      <c r="B42" s="46"/>
      <c r="C42" s="47"/>
      <c r="D42" s="246"/>
      <c r="E42" s="47"/>
      <c r="F42" s="246"/>
      <c r="G42" s="61"/>
      <c r="H42" s="43"/>
      <c r="I42" s="44"/>
    </row>
    <row r="43" spans="1:9">
      <c r="A43" s="43"/>
      <c r="B43" s="65" t="s">
        <v>447</v>
      </c>
      <c r="C43" s="47"/>
      <c r="D43" s="118">
        <v>160483</v>
      </c>
      <c r="E43" s="47"/>
      <c r="F43" s="118">
        <v>160499</v>
      </c>
      <c r="G43" s="61"/>
      <c r="H43" s="43"/>
      <c r="I43" s="44"/>
    </row>
    <row r="44" spans="1:9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340769</v>
      </c>
      <c r="E52" s="47"/>
      <c r="F52" s="75">
        <f>IF(תברים!F55&gt;=0,(תברים!F53),0)</f>
        <v>328668</v>
      </c>
      <c r="G52" s="61"/>
      <c r="H52" s="43"/>
      <c r="I52" s="44"/>
    </row>
    <row r="53" spans="1:9" ht="12.75" customHeight="1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-13399</v>
      </c>
      <c r="E53" s="47"/>
      <c r="F53" s="75">
        <f>IF(תברים!F55&gt;=0,-1*(תברים!F54),0)</f>
        <v>-12666</v>
      </c>
      <c r="G53" s="61"/>
      <c r="H53" s="43"/>
      <c r="I53" s="44"/>
    </row>
    <row r="54" spans="1:9" ht="4.5" customHeight="1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>
      <c r="A55" s="43"/>
      <c r="B55" s="46" t="s">
        <v>622</v>
      </c>
      <c r="C55" s="47"/>
      <c r="D55" s="72">
        <f>D39+D41+D43+D47+D49+D52+D53</f>
        <v>915629</v>
      </c>
      <c r="E55" s="47"/>
      <c r="F55" s="72">
        <f>F39+F41+F43+F47+F49+F52+F53</f>
        <v>741678</v>
      </c>
      <c r="G55" s="61"/>
      <c r="H55" s="43"/>
      <c r="I55" s="44"/>
    </row>
    <row r="56" spans="1:9" ht="13.5" thickTop="1">
      <c r="A56" s="43"/>
      <c r="B56" s="525"/>
      <c r="C56" s="47"/>
      <c r="D56" s="47"/>
      <c r="E56" s="47"/>
      <c r="F56" s="47"/>
      <c r="G56" s="61"/>
      <c r="H56" s="43"/>
      <c r="I56" s="44"/>
    </row>
    <row r="57" spans="1:9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>
      <c r="A58" s="43"/>
      <c r="B58" s="46" t="s">
        <v>624</v>
      </c>
      <c r="C58" s="47"/>
      <c r="D58" s="50">
        <f>801021-36830</f>
        <v>764191</v>
      </c>
      <c r="E58" s="47"/>
      <c r="F58" s="118">
        <v>764534</v>
      </c>
      <c r="G58" s="61"/>
      <c r="H58" s="43"/>
      <c r="I58" s="44"/>
    </row>
    <row r="59" spans="1:9">
      <c r="A59" s="43"/>
      <c r="B59" s="76" t="s">
        <v>625</v>
      </c>
      <c r="C59" s="47"/>
      <c r="D59" s="50">
        <v>114247</v>
      </c>
      <c r="E59" s="47"/>
      <c r="F59" s="118">
        <v>119471</v>
      </c>
      <c r="G59" s="61"/>
      <c r="H59" s="43"/>
      <c r="I59" s="44"/>
    </row>
    <row r="60" spans="1:9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>
      <c r="A63" s="43"/>
      <c r="B63" s="46" t="s">
        <v>628</v>
      </c>
      <c r="C63" s="47"/>
      <c r="D63" s="50">
        <v>8200</v>
      </c>
      <c r="E63" s="47"/>
      <c r="F63" s="50">
        <v>14000</v>
      </c>
      <c r="G63" s="61"/>
      <c r="H63" s="43"/>
      <c r="I63" s="44"/>
    </row>
    <row r="64" spans="1:9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>
      <c r="A66" s="43"/>
      <c r="B66" s="46" t="s">
        <v>631</v>
      </c>
      <c r="C66" s="47"/>
      <c r="D66" s="72">
        <f>SUM(D62:D65)</f>
        <v>8200</v>
      </c>
      <c r="E66" s="47"/>
      <c r="F66" s="72">
        <f>SUM(F62:F65)</f>
        <v>14000</v>
      </c>
      <c r="G66" s="61"/>
      <c r="H66" s="43"/>
      <c r="I66" s="44"/>
    </row>
    <row r="67" spans="1:9" ht="13.5" thickTop="1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>
      <c r="A74" s="43"/>
      <c r="B74" s="46" t="s">
        <v>633</v>
      </c>
      <c r="C74" s="47"/>
      <c r="D74" s="50"/>
      <c r="E74" s="47"/>
      <c r="F74" s="118"/>
      <c r="G74" s="61"/>
      <c r="H74" s="43"/>
      <c r="I74" s="44"/>
    </row>
    <row r="75" spans="1:9">
      <c r="A75" s="43"/>
      <c r="B75" s="46" t="s">
        <v>634</v>
      </c>
      <c r="C75" s="47"/>
      <c r="D75" s="50">
        <f>151588+6297</f>
        <v>157885</v>
      </c>
      <c r="E75" s="47"/>
      <c r="F75" s="118">
        <v>30129</v>
      </c>
      <c r="G75" s="61"/>
      <c r="H75" s="43"/>
      <c r="I75" s="44"/>
    </row>
    <row r="76" spans="1:9">
      <c r="A76" s="43"/>
      <c r="B76" s="46" t="s">
        <v>635</v>
      </c>
      <c r="C76" s="47"/>
      <c r="D76" s="78">
        <v>40776</v>
      </c>
      <c r="E76" s="47"/>
      <c r="F76" s="177">
        <v>40474</v>
      </c>
      <c r="G76" s="61"/>
      <c r="H76" s="43"/>
      <c r="I76" s="44"/>
    </row>
    <row r="77" spans="1:9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>
      <c r="A79" s="43"/>
      <c r="B79" s="46" t="s">
        <v>638</v>
      </c>
      <c r="C79" s="47"/>
      <c r="D79" s="50">
        <v>49088</v>
      </c>
      <c r="E79" s="47"/>
      <c r="F79" s="118">
        <f>33053+1108</f>
        <v>34161</v>
      </c>
      <c r="G79" s="61"/>
      <c r="H79" s="43"/>
      <c r="I79" s="44"/>
    </row>
    <row r="80" spans="1:9" ht="13.5" thickBot="1">
      <c r="A80" s="43"/>
      <c r="B80" s="46" t="s">
        <v>639</v>
      </c>
      <c r="C80" s="47"/>
      <c r="D80" s="72">
        <f>SUM(D74:D79)</f>
        <v>247749</v>
      </c>
      <c r="E80" s="47"/>
      <c r="F80" s="72">
        <f>SUM(F74:F79)</f>
        <v>104764</v>
      </c>
      <c r="G80" s="61"/>
      <c r="H80" s="43"/>
      <c r="I80" s="44"/>
    </row>
    <row r="81" spans="1:9" ht="6" customHeight="1" thickTop="1">
      <c r="A81" s="43"/>
      <c r="B81" s="46"/>
      <c r="C81" s="47"/>
      <c r="D81" s="47"/>
      <c r="E81" s="47"/>
      <c r="F81" s="47"/>
      <c r="G81" s="61"/>
      <c r="H81" s="43"/>
      <c r="I81" s="44"/>
    </row>
    <row r="82" spans="1:9">
      <c r="A82" s="43"/>
      <c r="B82" s="65" t="s">
        <v>6</v>
      </c>
      <c r="C82" s="47"/>
      <c r="D82" s="50">
        <v>34171</v>
      </c>
      <c r="E82" s="47"/>
      <c r="F82" s="118">
        <v>33771</v>
      </c>
      <c r="G82" s="61"/>
      <c r="H82" s="43"/>
      <c r="I82" s="44"/>
    </row>
    <row r="83" spans="1:9">
      <c r="A83" s="43"/>
      <c r="B83" s="46"/>
      <c r="C83" s="47"/>
      <c r="D83" s="47"/>
      <c r="E83" s="47"/>
      <c r="F83" s="47"/>
      <c r="G83" s="61"/>
      <c r="H83" s="43"/>
      <c r="I83" s="44"/>
    </row>
    <row r="84" spans="1:9">
      <c r="A84" s="43"/>
      <c r="B84" s="53"/>
      <c r="C84" s="54"/>
      <c r="D84" s="54"/>
      <c r="E84" s="54"/>
      <c r="F84" s="54"/>
      <c r="G84" s="79"/>
      <c r="H84" s="43"/>
      <c r="I84" s="44"/>
    </row>
    <row r="85" spans="1:9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/>
    <row r="313" spans="2:7" ht="15" customHeight="1">
      <c r="B313" s="632" t="str">
        <f t="shared" ref="B313:G315" si="0">C1</f>
        <v>עיריית בת-ים</v>
      </c>
      <c r="C313" s="632">
        <f t="shared" si="0"/>
        <v>0</v>
      </c>
      <c r="D313" s="632">
        <f t="shared" si="0"/>
        <v>0</v>
      </c>
      <c r="E313" s="632">
        <f t="shared" si="0"/>
        <v>0</v>
      </c>
      <c r="F313" s="632">
        <f t="shared" si="0"/>
        <v>0</v>
      </c>
      <c r="G313" s="632">
        <f t="shared" si="0"/>
        <v>0</v>
      </c>
    </row>
    <row r="314" spans="2:7" ht="14.25" customHeight="1">
      <c r="B314" s="632" t="str">
        <f t="shared" si="0"/>
        <v>תמצית המאזן באלפי ₪</v>
      </c>
      <c r="C314" s="632">
        <f t="shared" si="0"/>
        <v>0</v>
      </c>
      <c r="D314" s="632">
        <f t="shared" si="0"/>
        <v>0</v>
      </c>
      <c r="E314" s="632">
        <f t="shared" si="0"/>
        <v>0</v>
      </c>
      <c r="F314" s="632">
        <f t="shared" si="0"/>
        <v>0</v>
      </c>
      <c r="G314" s="632">
        <f t="shared" si="0"/>
        <v>0</v>
      </c>
    </row>
    <row r="315" spans="2:7" ht="15.75" customHeight="1">
      <c r="B315" s="632" t="str">
        <f t="shared" si="0"/>
        <v>ליום 31 במרץ 2021</v>
      </c>
      <c r="C315" s="632">
        <f t="shared" si="0"/>
        <v>0</v>
      </c>
      <c r="D315" s="632">
        <f t="shared" si="0"/>
        <v>0</v>
      </c>
      <c r="E315" s="632">
        <f t="shared" si="0"/>
        <v>0</v>
      </c>
      <c r="F315" s="632">
        <f t="shared" si="0"/>
        <v>0</v>
      </c>
      <c r="G315" s="632">
        <f t="shared" si="0"/>
        <v>0</v>
      </c>
    </row>
    <row r="317" spans="2:7" ht="6.75" customHeight="1"/>
    <row r="318" spans="2:7" ht="7.5" customHeight="1"/>
    <row r="319" spans="2:7">
      <c r="B319" s="81"/>
      <c r="C319" s="81">
        <f>C7</f>
        <v>0</v>
      </c>
      <c r="D319" s="535" t="str">
        <f>D7</f>
        <v>31.3.21</v>
      </c>
      <c r="E319" s="81">
        <f>E7</f>
        <v>0</v>
      </c>
      <c r="F319" s="535" t="str">
        <f>F7</f>
        <v>31.12.20</v>
      </c>
      <c r="G319" s="81" t="str">
        <f>G7</f>
        <v>*</v>
      </c>
    </row>
    <row r="320" spans="2:7" ht="15.75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>
      <c r="B321" s="82" t="str">
        <f t="shared" si="1"/>
        <v>נכסים נזילים: קופה ובנקים</v>
      </c>
      <c r="C321" s="83"/>
      <c r="D321" s="86">
        <f t="shared" si="1"/>
        <v>207301</v>
      </c>
      <c r="E321" s="83">
        <f t="shared" si="1"/>
        <v>0</v>
      </c>
      <c r="F321" s="86">
        <f t="shared" si="1"/>
        <v>91407</v>
      </c>
      <c r="G321" s="84">
        <f t="shared" si="1"/>
        <v>0</v>
      </c>
    </row>
    <row r="322" spans="2:7">
      <c r="B322" s="82" t="str">
        <f t="shared" si="1"/>
        <v>הכנסות מתוקצבות שטרם התקבלו</v>
      </c>
      <c r="C322" s="83"/>
      <c r="D322" s="87">
        <f t="shared" si="1"/>
        <v>18459</v>
      </c>
      <c r="E322" s="83">
        <f t="shared" si="1"/>
        <v>0</v>
      </c>
      <c r="F322" s="87">
        <f t="shared" si="1"/>
        <v>13755</v>
      </c>
      <c r="G322" s="84">
        <f t="shared" si="1"/>
        <v>0</v>
      </c>
    </row>
    <row r="323" spans="2:7">
      <c r="B323" s="82" t="str">
        <f t="shared" si="1"/>
        <v>חייבים - תשלומים לא מתוקצבים</v>
      </c>
      <c r="C323" s="83"/>
      <c r="D323" s="87">
        <f t="shared" si="1"/>
        <v>1529</v>
      </c>
      <c r="E323" s="83">
        <f t="shared" si="1"/>
        <v>0</v>
      </c>
      <c r="F323" s="87">
        <f t="shared" si="1"/>
        <v>1402</v>
      </c>
      <c r="G323" s="84">
        <f t="shared" si="1"/>
        <v>0</v>
      </c>
    </row>
    <row r="324" spans="2:7">
      <c r="B324" s="82" t="str">
        <f t="shared" si="1"/>
        <v>סה"כ רכוש שוטף</v>
      </c>
      <c r="C324" s="83"/>
      <c r="D324" s="88">
        <f t="shared" si="1"/>
        <v>227289</v>
      </c>
      <c r="E324" s="83">
        <f t="shared" si="1"/>
        <v>0</v>
      </c>
      <c r="F324" s="88">
        <f t="shared" si="1"/>
        <v>106564</v>
      </c>
      <c r="G324" s="84">
        <f t="shared" si="1"/>
        <v>0</v>
      </c>
    </row>
    <row r="325" spans="2:7">
      <c r="B325" s="82" t="str">
        <f t="shared" si="1"/>
        <v>השקעות מיועדות לכסוי קרן לעבודות פיתוח</v>
      </c>
      <c r="C325" s="83"/>
      <c r="D325" s="86">
        <f t="shared" si="1"/>
        <v>405378</v>
      </c>
      <c r="E325" s="83">
        <f t="shared" si="1"/>
        <v>0</v>
      </c>
      <c r="F325" s="86">
        <f t="shared" si="1"/>
        <v>348565</v>
      </c>
      <c r="G325" s="84">
        <f t="shared" si="1"/>
        <v>0</v>
      </c>
    </row>
    <row r="326" spans="2:7">
      <c r="B326" s="82" t="str">
        <f t="shared" si="1"/>
        <v>השקעות במימון קרנות מתוקצבות</v>
      </c>
      <c r="C326" s="83"/>
      <c r="D326" s="87">
        <f t="shared" si="1"/>
        <v>160483</v>
      </c>
      <c r="E326" s="83">
        <f t="shared" si="1"/>
        <v>0</v>
      </c>
      <c r="F326" s="87">
        <f t="shared" si="1"/>
        <v>160499</v>
      </c>
      <c r="G326" s="84">
        <f t="shared" si="1"/>
        <v>0</v>
      </c>
    </row>
    <row r="327" spans="2:7">
      <c r="B327" s="82" t="str">
        <f t="shared" si="1"/>
        <v>סה"כ השקעות</v>
      </c>
      <c r="C327" s="83"/>
      <c r="D327" s="88">
        <f t="shared" si="1"/>
        <v>565861</v>
      </c>
      <c r="E327" s="83">
        <f t="shared" si="1"/>
        <v>0</v>
      </c>
      <c r="F327" s="88">
        <f t="shared" si="1"/>
        <v>509064</v>
      </c>
      <c r="G327" s="84">
        <f t="shared" si="1"/>
        <v>0</v>
      </c>
    </row>
    <row r="328" spans="2:7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>
      <c r="B329" s="82" t="str">
        <f t="shared" si="1"/>
        <v>גרעון לראשית השנה</v>
      </c>
      <c r="C329" s="83"/>
      <c r="D329" s="87">
        <f t="shared" si="1"/>
        <v>126050</v>
      </c>
      <c r="E329" s="83">
        <f t="shared" si="1"/>
        <v>0</v>
      </c>
      <c r="F329" s="87">
        <f t="shared" si="1"/>
        <v>110031</v>
      </c>
      <c r="G329" s="84">
        <f t="shared" si="1"/>
        <v>0</v>
      </c>
    </row>
    <row r="330" spans="2:7">
      <c r="B330" s="82" t="str">
        <f t="shared" si="1"/>
        <v>סכום שהתקבל להקטנת הגרעון (במינוס) (1)</v>
      </c>
      <c r="C330" s="83"/>
      <c r="D330" s="87">
        <f t="shared" si="1"/>
        <v>-8200</v>
      </c>
      <c r="E330" s="83">
        <f t="shared" si="1"/>
        <v>0</v>
      </c>
      <c r="F330" s="87">
        <f t="shared" si="1"/>
        <v>-14000</v>
      </c>
      <c r="G330" s="84">
        <f t="shared" si="1"/>
        <v>0</v>
      </c>
    </row>
    <row r="331" spans="2:7">
      <c r="B331" s="82" t="str">
        <f t="shared" si="1"/>
        <v>גרעון (עודף) שוטף בתקופת הדוח</v>
      </c>
      <c r="C331" s="83"/>
      <c r="D331" s="87">
        <f t="shared" si="1"/>
        <v>4629</v>
      </c>
      <c r="E331" s="83">
        <f t="shared" si="1"/>
        <v>0</v>
      </c>
      <c r="F331" s="87">
        <f t="shared" si="1"/>
        <v>30019</v>
      </c>
      <c r="G331" s="84">
        <f t="shared" si="1"/>
        <v>0</v>
      </c>
    </row>
    <row r="332" spans="2:7">
      <c r="B332" s="82" t="str">
        <f t="shared" si="1"/>
        <v>סה"כ גרעון מצטבר בתקציב הרגיל</v>
      </c>
      <c r="C332" s="83"/>
      <c r="D332" s="88">
        <f t="shared" si="1"/>
        <v>122479</v>
      </c>
      <c r="E332" s="83">
        <f t="shared" si="1"/>
        <v>0</v>
      </c>
      <c r="F332" s="88">
        <f t="shared" si="1"/>
        <v>126050</v>
      </c>
      <c r="G332" s="84">
        <f t="shared" si="1"/>
        <v>0</v>
      </c>
    </row>
    <row r="333" spans="2:7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>
      <c r="B342" s="522" t="str">
        <f t="shared" si="2"/>
        <v>סה"כ נכסים</v>
      </c>
      <c r="C342" s="83"/>
      <c r="D342" s="94">
        <f t="shared" si="3"/>
        <v>915629</v>
      </c>
      <c r="E342" s="83">
        <f t="shared" si="3"/>
        <v>0</v>
      </c>
      <c r="F342" s="95">
        <f t="shared" si="3"/>
        <v>741678</v>
      </c>
      <c r="G342" s="84">
        <f>G30</f>
        <v>0</v>
      </c>
    </row>
    <row r="343" spans="2:7" ht="13.5" thickTop="1">
      <c r="B343" s="522"/>
      <c r="C343" s="83"/>
      <c r="D343" s="523"/>
      <c r="E343" s="83"/>
      <c r="F343" s="103"/>
      <c r="G343" s="84"/>
    </row>
    <row r="344" spans="2:7" ht="15.75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>
      <c r="B346" s="82" t="str">
        <f t="shared" si="4"/>
        <v>בנקים: משיכות יתר והלוואות</v>
      </c>
      <c r="C346" s="83"/>
      <c r="D346" s="100">
        <f t="shared" si="5"/>
        <v>0</v>
      </c>
      <c r="E346" s="83">
        <f t="shared" si="5"/>
        <v>0</v>
      </c>
      <c r="F346" s="100">
        <f t="shared" si="5"/>
        <v>0</v>
      </c>
      <c r="G346" s="84">
        <f t="shared" si="5"/>
        <v>0</v>
      </c>
    </row>
    <row r="347" spans="2:7">
      <c r="B347" s="82" t="str">
        <f t="shared" si="4"/>
        <v>משרדי ממשלה</v>
      </c>
      <c r="C347" s="83"/>
      <c r="D347" s="87">
        <f t="shared" si="5"/>
        <v>2288</v>
      </c>
      <c r="E347" s="83">
        <f t="shared" si="5"/>
        <v>0</v>
      </c>
      <c r="F347" s="87">
        <f t="shared" si="5"/>
        <v>2044</v>
      </c>
      <c r="G347" s="84">
        <f t="shared" si="5"/>
        <v>0</v>
      </c>
    </row>
    <row r="348" spans="2:7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37958</v>
      </c>
      <c r="E348" s="83">
        <f t="shared" si="6"/>
        <v>0</v>
      </c>
      <c r="F348" s="87">
        <f t="shared" si="6"/>
        <v>32559</v>
      </c>
      <c r="G348" s="84"/>
    </row>
    <row r="349" spans="2:7">
      <c r="B349" s="82" t="str">
        <f t="shared" si="4"/>
        <v>ספקים וזכאים (*) - הוצאות מתוקצבות שטרם שולמו</v>
      </c>
      <c r="C349" s="83"/>
      <c r="D349" s="87">
        <f t="shared" si="6"/>
        <v>79857</v>
      </c>
      <c r="E349" s="83">
        <f t="shared" si="6"/>
        <v>0</v>
      </c>
      <c r="F349" s="87">
        <f t="shared" si="6"/>
        <v>90690</v>
      </c>
      <c r="G349" s="84">
        <f>G36</f>
        <v>0</v>
      </c>
    </row>
    <row r="350" spans="2:7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>
      <c r="B351" s="82" t="str">
        <f t="shared" si="4"/>
        <v>פקדונות, הכנסות מראש ואחרים</v>
      </c>
      <c r="C351" s="83"/>
      <c r="D351" s="87">
        <f t="shared" ref="D351:G354" si="7">D38</f>
        <v>59924</v>
      </c>
      <c r="E351" s="83">
        <f t="shared" si="7"/>
        <v>0</v>
      </c>
      <c r="F351" s="87">
        <f t="shared" si="7"/>
        <v>35120</v>
      </c>
      <c r="G351" s="84">
        <f t="shared" si="7"/>
        <v>0</v>
      </c>
    </row>
    <row r="352" spans="2:7">
      <c r="B352" s="82" t="str">
        <f t="shared" si="4"/>
        <v>סה"כ התחיבויות שוטפות</v>
      </c>
      <c r="C352" s="83"/>
      <c r="D352" s="88">
        <f t="shared" si="7"/>
        <v>180027</v>
      </c>
      <c r="E352" s="83">
        <f t="shared" si="7"/>
        <v>0</v>
      </c>
      <c r="F352" s="88">
        <f t="shared" si="7"/>
        <v>160413</v>
      </c>
      <c r="G352" s="84">
        <f t="shared" si="7"/>
        <v>0</v>
      </c>
    </row>
    <row r="353" spans="2:7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>
      <c r="B354" s="82" t="str">
        <f t="shared" si="4"/>
        <v>קרנות בלתי מתוקצבות (3)</v>
      </c>
      <c r="C354" s="83"/>
      <c r="D354" s="87">
        <f t="shared" si="7"/>
        <v>247749</v>
      </c>
      <c r="E354" s="83">
        <f t="shared" si="7"/>
        <v>0</v>
      </c>
      <c r="F354" s="87">
        <f t="shared" si="7"/>
        <v>104764</v>
      </c>
      <c r="G354" s="84">
        <f t="shared" si="7"/>
        <v>0</v>
      </c>
    </row>
    <row r="355" spans="2:7" hidden="1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>
      <c r="B356" s="82" t="str">
        <f t="shared" ref="B356:B368" si="8">B43</f>
        <v>קרנות מתוקצבות</v>
      </c>
      <c r="C356" s="83"/>
      <c r="D356" s="86">
        <f t="shared" ref="D356:G364" si="9">D43</f>
        <v>160483</v>
      </c>
      <c r="E356" s="83">
        <f t="shared" si="9"/>
        <v>0</v>
      </c>
      <c r="F356" s="86">
        <f t="shared" si="9"/>
        <v>160499</v>
      </c>
      <c r="G356" s="84">
        <f t="shared" si="9"/>
        <v>0</v>
      </c>
    </row>
    <row r="357" spans="2:7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>
      <c r="B365" s="82" t="str">
        <f t="shared" si="8"/>
        <v>עודפי מימון זמניים</v>
      </c>
      <c r="C365" s="83"/>
      <c r="D365" s="98">
        <f t="shared" ref="D365:F369" si="10">D52</f>
        <v>340769</v>
      </c>
      <c r="E365" s="83">
        <f t="shared" si="10"/>
        <v>0</v>
      </c>
      <c r="F365" s="98">
        <f t="shared" si="10"/>
        <v>328668</v>
      </c>
      <c r="G365" s="84"/>
    </row>
    <row r="366" spans="2:7">
      <c r="B366" s="82" t="str">
        <f t="shared" si="8"/>
        <v>גרעונות מימון זמניים</v>
      </c>
      <c r="C366" s="83"/>
      <c r="D366" s="98">
        <f t="shared" si="10"/>
        <v>-13399</v>
      </c>
      <c r="E366" s="83">
        <f t="shared" si="10"/>
        <v>0</v>
      </c>
      <c r="F366" s="98">
        <f t="shared" si="10"/>
        <v>-12666</v>
      </c>
      <c r="G366" s="84"/>
    </row>
    <row r="367" spans="2:7" ht="4.5" customHeight="1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>
      <c r="B368" s="522" t="str">
        <f t="shared" si="8"/>
        <v>סה"כ התחייבויות ועודפים</v>
      </c>
      <c r="C368" s="83"/>
      <c r="D368" s="95">
        <f t="shared" si="10"/>
        <v>915629</v>
      </c>
      <c r="E368" s="83">
        <f t="shared" si="10"/>
        <v>0</v>
      </c>
      <c r="F368" s="95">
        <f t="shared" si="10"/>
        <v>741678</v>
      </c>
      <c r="G368" s="84">
        <f>G55</f>
        <v>0</v>
      </c>
    </row>
    <row r="369" spans="2:7" ht="13.5" thickTop="1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לא מבוקר</v>
      </c>
      <c r="C370" s="83"/>
      <c r="D370" s="83"/>
      <c r="E370" s="83"/>
      <c r="F370" s="83"/>
      <c r="G370" s="84"/>
    </row>
    <row r="371" spans="2:7" ht="18">
      <c r="B371" s="632" t="str">
        <f>C1</f>
        <v>עיריית בת-ים</v>
      </c>
      <c r="C371" s="632">
        <f t="shared" ref="C371:G373" si="11">D59</f>
        <v>114247</v>
      </c>
      <c r="D371" s="632">
        <f t="shared" si="11"/>
        <v>0</v>
      </c>
      <c r="E371" s="632">
        <f t="shared" si="11"/>
        <v>119471</v>
      </c>
      <c r="F371" s="632">
        <f t="shared" si="11"/>
        <v>0</v>
      </c>
      <c r="G371" s="632">
        <f t="shared" si="11"/>
        <v>0</v>
      </c>
    </row>
    <row r="372" spans="2:7" ht="18">
      <c r="B372" s="632" t="str">
        <f>CONCATENATE(C2," - פירוטים למאזן")</f>
        <v>תמצית המאזן באלפי ₪ - פירוטים למאזן</v>
      </c>
      <c r="C372" s="632">
        <f t="shared" si="11"/>
        <v>0</v>
      </c>
      <c r="D372" s="632">
        <f t="shared" si="11"/>
        <v>0</v>
      </c>
      <c r="E372" s="632">
        <f t="shared" si="11"/>
        <v>0</v>
      </c>
      <c r="F372" s="632">
        <f t="shared" si="11"/>
        <v>0</v>
      </c>
      <c r="G372" s="632">
        <f t="shared" si="11"/>
        <v>0</v>
      </c>
    </row>
    <row r="373" spans="2:7" ht="18">
      <c r="B373" s="632" t="str">
        <f>C3</f>
        <v>ליום 31 במרץ 2021</v>
      </c>
      <c r="C373" s="632">
        <f t="shared" si="11"/>
        <v>0</v>
      </c>
      <c r="D373" s="632">
        <f t="shared" si="11"/>
        <v>0</v>
      </c>
      <c r="E373" s="632">
        <f t="shared" si="11"/>
        <v>0</v>
      </c>
      <c r="F373" s="632">
        <f t="shared" si="11"/>
        <v>0</v>
      </c>
      <c r="G373" s="632">
        <f t="shared" si="11"/>
        <v>0</v>
      </c>
    </row>
    <row r="374" spans="2:7" ht="8.25" customHeight="1">
      <c r="B374" s="99"/>
      <c r="C374" s="99"/>
      <c r="D374" s="99"/>
      <c r="E374" s="99"/>
      <c r="F374" s="99"/>
      <c r="G374" s="99"/>
    </row>
    <row r="375" spans="2:7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>
      <c r="B376" s="82" t="str">
        <f t="shared" si="12"/>
        <v>חייבים בגין אגרות והיטלים</v>
      </c>
      <c r="C376" s="83"/>
      <c r="D376" s="100">
        <f t="shared" si="13"/>
        <v>764191</v>
      </c>
      <c r="E376" s="83">
        <f t="shared" si="13"/>
        <v>0</v>
      </c>
      <c r="F376" s="100">
        <f t="shared" si="13"/>
        <v>764534</v>
      </c>
      <c r="G376" s="84">
        <f t="shared" si="13"/>
        <v>0</v>
      </c>
    </row>
    <row r="377" spans="2:7">
      <c r="B377" s="101" t="str">
        <f t="shared" si="12"/>
        <v>עומס מלוות לפרעון (משוערך) לשנים הבאות</v>
      </c>
      <c r="C377" s="83"/>
      <c r="D377" s="87">
        <f t="shared" si="13"/>
        <v>114247</v>
      </c>
      <c r="E377" s="83">
        <f t="shared" si="13"/>
        <v>0</v>
      </c>
      <c r="F377" s="87">
        <f t="shared" si="13"/>
        <v>119471</v>
      </c>
      <c r="G377" s="84">
        <f t="shared" si="13"/>
        <v>0</v>
      </c>
    </row>
    <row r="378" spans="2:7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>
      <c r="B381" s="82" t="str">
        <f t="shared" si="12"/>
        <v>מענקים לכסוי הגרעון</v>
      </c>
      <c r="C381" s="83"/>
      <c r="D381" s="87">
        <f t="shared" si="13"/>
        <v>8200</v>
      </c>
      <c r="E381" s="83">
        <f t="shared" si="13"/>
        <v>0</v>
      </c>
      <c r="F381" s="87">
        <f t="shared" si="13"/>
        <v>14000</v>
      </c>
      <c r="G381" s="84">
        <f t="shared" si="13"/>
        <v>0</v>
      </c>
    </row>
    <row r="382" spans="2:7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>
      <c r="B384" s="82" t="str">
        <f t="shared" si="12"/>
        <v>סה"כ מקורות לכסוי הגרעון</v>
      </c>
      <c r="C384" s="83"/>
      <c r="D384" s="95">
        <f t="shared" si="13"/>
        <v>8200</v>
      </c>
      <c r="E384" s="83">
        <f t="shared" si="13"/>
        <v>0</v>
      </c>
      <c r="F384" s="95">
        <f t="shared" si="13"/>
        <v>14000</v>
      </c>
      <c r="G384" s="84">
        <f t="shared" si="13"/>
        <v>0</v>
      </c>
    </row>
    <row r="385" spans="2:7" ht="27.75" customHeight="1" thickTop="1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>
      <c r="B392" s="82" t="str">
        <f t="shared" si="12"/>
        <v>קרן עודפים בתקציב הרגיל</v>
      </c>
      <c r="C392" s="83"/>
      <c r="D392" s="86">
        <f t="shared" si="14"/>
        <v>0</v>
      </c>
      <c r="E392" s="83">
        <f t="shared" si="14"/>
        <v>0</v>
      </c>
      <c r="F392" s="86">
        <f t="shared" si="14"/>
        <v>0</v>
      </c>
      <c r="G392" s="84">
        <f t="shared" si="14"/>
        <v>0</v>
      </c>
    </row>
    <row r="393" spans="2:7">
      <c r="B393" s="82" t="str">
        <f t="shared" si="12"/>
        <v>קרן היטל השבחה</v>
      </c>
      <c r="C393" s="83"/>
      <c r="D393" s="87">
        <f t="shared" si="14"/>
        <v>157885</v>
      </c>
      <c r="E393" s="83">
        <f t="shared" si="14"/>
        <v>0</v>
      </c>
      <c r="F393" s="87">
        <f t="shared" si="14"/>
        <v>30129</v>
      </c>
      <c r="G393" s="84">
        <f t="shared" si="14"/>
        <v>0</v>
      </c>
    </row>
    <row r="394" spans="2:7">
      <c r="B394" s="82" t="str">
        <f t="shared" si="12"/>
        <v>קרן ממכירת נכסים</v>
      </c>
      <c r="C394" s="83"/>
      <c r="D394" s="87">
        <f t="shared" si="14"/>
        <v>40776</v>
      </c>
      <c r="E394" s="83">
        <f t="shared" si="14"/>
        <v>0</v>
      </c>
      <c r="F394" s="87">
        <f t="shared" si="14"/>
        <v>40474</v>
      </c>
      <c r="G394" s="84">
        <f t="shared" si="14"/>
        <v>0</v>
      </c>
    </row>
    <row r="395" spans="2:7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>
      <c r="B397" s="82" t="str">
        <f t="shared" si="12"/>
        <v>קרנות אחרות</v>
      </c>
      <c r="C397" s="83"/>
      <c r="D397" s="87">
        <f t="shared" si="14"/>
        <v>49088</v>
      </c>
      <c r="E397" s="83">
        <f t="shared" si="14"/>
        <v>0</v>
      </c>
      <c r="F397" s="87">
        <f t="shared" si="14"/>
        <v>34161</v>
      </c>
      <c r="G397" s="84">
        <f>G79</f>
        <v>0</v>
      </c>
    </row>
    <row r="398" spans="2:7" ht="13.5" thickBot="1">
      <c r="B398" s="82" t="str">
        <f t="shared" si="12"/>
        <v>סה"כ קרנות</v>
      </c>
      <c r="C398" s="83"/>
      <c r="D398" s="95">
        <f t="shared" si="14"/>
        <v>247749</v>
      </c>
      <c r="E398" s="83">
        <f t="shared" si="14"/>
        <v>0</v>
      </c>
      <c r="F398" s="95">
        <f t="shared" si="14"/>
        <v>104764</v>
      </c>
      <c r="G398" s="84">
        <f>G80</f>
        <v>0</v>
      </c>
    </row>
    <row r="399" spans="2:7" ht="10.5" customHeight="1" thickTop="1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>
      <c r="B400" s="82" t="str">
        <f t="shared" si="12"/>
        <v xml:space="preserve">(*) מתוך זה הפרשה בגין תביעות תלויות  </v>
      </c>
      <c r="C400" s="83"/>
      <c r="D400" s="83">
        <f t="shared" si="14"/>
        <v>34171</v>
      </c>
      <c r="E400" s="83">
        <f t="shared" si="14"/>
        <v>0</v>
      </c>
      <c r="F400" s="83">
        <f t="shared" si="14"/>
        <v>33771</v>
      </c>
      <c r="G400" s="84">
        <f>G82</f>
        <v>0</v>
      </c>
    </row>
    <row r="401" spans="2:7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>
      <c r="B402" s="104" t="str">
        <f>CONCATENATE("ביקורת:   ",BikoretCode)</f>
        <v xml:space="preserve">ביקורת:   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82" priority="1" stopIfTrue="1">
      <formula>$B$365=""</formula>
    </cfRule>
  </conditionalFormatting>
  <conditionalFormatting sqref="F338:F339 D338:D339">
    <cfRule type="expression" dxfId="81" priority="2" stopIfTrue="1">
      <formula>$B$338=""</formula>
    </cfRule>
  </conditionalFormatting>
  <conditionalFormatting sqref="D340 F340">
    <cfRule type="expression" dxfId="80" priority="3" stopIfTrue="1">
      <formula>$B$340=""</formula>
    </cfRule>
  </conditionalFormatting>
  <conditionalFormatting sqref="B370">
    <cfRule type="expression" dxfId="79" priority="4" stopIfTrue="1">
      <formula>$L$3=0</formula>
    </cfRule>
  </conditionalFormatting>
  <conditionalFormatting sqref="D52 F52">
    <cfRule type="expression" dxfId="78" priority="5" stopIfTrue="1">
      <formula>$B$52=""</formula>
    </cfRule>
  </conditionalFormatting>
  <conditionalFormatting sqref="D53 F53">
    <cfRule type="expression" dxfId="77" priority="6" stopIfTrue="1">
      <formula>$B$53=""</formula>
    </cfRule>
  </conditionalFormatting>
  <conditionalFormatting sqref="D26 F26">
    <cfRule type="expression" dxfId="76" priority="7" stopIfTrue="1">
      <formula>$B$26=""</formula>
    </cfRule>
  </conditionalFormatting>
  <conditionalFormatting sqref="D27 F27">
    <cfRule type="expression" dxfId="75" priority="8" stopIfTrue="1">
      <formula>$B$27=""</formula>
    </cfRule>
  </conditionalFormatting>
  <conditionalFormatting sqref="D28 F28">
    <cfRule type="expression" dxfId="74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zoomScale="90" zoomScaleNormal="90" workbookViewId="0">
      <selection activeCell="A5" sqref="A5"/>
    </sheetView>
  </sheetViews>
  <sheetFormatPr defaultColWidth="9.140625" defaultRowHeight="12.75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7"/>
      <c r="I1" s="627"/>
      <c r="J1" s="627"/>
      <c r="K1" s="627"/>
      <c r="L1" s="628"/>
      <c r="M1" s="41"/>
    </row>
    <row r="2" spans="1:15" ht="19.5" thickTop="1" thickBot="1">
      <c r="A2" s="41"/>
      <c r="B2" s="41"/>
      <c r="C2" s="634" t="s">
        <v>642</v>
      </c>
      <c r="D2" s="635"/>
      <c r="E2" s="635"/>
      <c r="F2" s="635"/>
      <c r="G2" s="635"/>
      <c r="H2" s="635"/>
      <c r="I2" s="635"/>
      <c r="J2" s="635"/>
      <c r="K2" s="635"/>
      <c r="L2" s="636"/>
      <c r="M2" s="41"/>
    </row>
    <row r="3" spans="1:15" ht="19.5" thickTop="1" thickBot="1">
      <c r="A3" s="41"/>
      <c r="B3" s="41"/>
      <c r="C3" s="626" t="str">
        <f>ReportPeriod</f>
        <v>לתקופה: רבעון 1, שנת 2021</v>
      </c>
      <c r="D3" s="627"/>
      <c r="E3" s="627"/>
      <c r="F3" s="627"/>
      <c r="G3" s="627"/>
      <c r="H3" s="627"/>
      <c r="I3" s="627"/>
      <c r="J3" s="627"/>
      <c r="K3" s="627"/>
      <c r="L3" s="628"/>
      <c r="M3" s="41"/>
    </row>
    <row r="4" spans="1:15" ht="13.5" hidden="1" thickTop="1">
      <c r="A4" s="230"/>
      <c r="B4" s="231"/>
      <c r="C4" s="148"/>
      <c r="D4" s="148"/>
      <c r="E4" s="232"/>
      <c r="F4" s="232"/>
      <c r="G4" s="108">
        <f>'הגדרות כלליות'!D20</f>
        <v>1</v>
      </c>
      <c r="H4" s="108"/>
      <c r="I4" s="148"/>
      <c r="J4" s="148"/>
      <c r="K4" s="148"/>
      <c r="L4" s="148"/>
      <c r="M4" s="148"/>
    </row>
    <row r="5" spans="1:15" ht="13.5" thickTop="1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משרד הפנים</v>
      </c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>
      <c r="A7" s="43"/>
      <c r="B7" s="45"/>
      <c r="C7" s="527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>
      <c r="A11" s="43"/>
      <c r="B11" s="65" t="s">
        <v>648</v>
      </c>
      <c r="C11" s="118">
        <v>352500</v>
      </c>
      <c r="D11" s="47"/>
      <c r="E11" s="151">
        <f>C11*MIN($G$4,4)/4</f>
        <v>88125</v>
      </c>
      <c r="F11" s="47"/>
      <c r="G11" s="50">
        <v>85402</v>
      </c>
      <c r="H11" s="47"/>
      <c r="I11" s="151">
        <f t="shared" ref="I11:I16" si="0">G11-E11</f>
        <v>-2723</v>
      </c>
      <c r="J11" s="47"/>
      <c r="K11" s="188">
        <f t="shared" ref="K11:K16" si="1">IF(E11=0,0,I11/E11)</f>
        <v>-3.0899290780141843E-2</v>
      </c>
      <c r="L11" s="61"/>
      <c r="M11" s="44"/>
    </row>
    <row r="12" spans="1:15">
      <c r="A12" s="43"/>
      <c r="B12" s="65" t="s">
        <v>649</v>
      </c>
      <c r="C12" s="50">
        <v>100</v>
      </c>
      <c r="D12" s="47"/>
      <c r="E12" s="151">
        <f>C12*MIN($G$4,4)/4</f>
        <v>25</v>
      </c>
      <c r="F12" s="47"/>
      <c r="G12" s="50">
        <v>14</v>
      </c>
      <c r="H12" s="47"/>
      <c r="I12" s="151">
        <f t="shared" si="0"/>
        <v>-11</v>
      </c>
      <c r="J12" s="47"/>
      <c r="K12" s="188">
        <f t="shared" si="1"/>
        <v>-0.44</v>
      </c>
      <c r="L12" s="61"/>
      <c r="M12" s="44"/>
    </row>
    <row r="13" spans="1:15">
      <c r="A13" s="43"/>
      <c r="B13" s="65" t="s">
        <v>851</v>
      </c>
      <c r="C13" s="118">
        <v>19081</v>
      </c>
      <c r="D13" s="47"/>
      <c r="E13" s="151">
        <f>C13*MIN($G$4,4)/4</f>
        <v>4770.25</v>
      </c>
      <c r="F13" s="47"/>
      <c r="G13" s="50">
        <v>3170</v>
      </c>
      <c r="H13" s="47"/>
      <c r="I13" s="151">
        <f t="shared" si="0"/>
        <v>-1600.25</v>
      </c>
      <c r="J13" s="47"/>
      <c r="K13" s="188">
        <f t="shared" si="1"/>
        <v>-0.33546459829149416</v>
      </c>
      <c r="L13" s="61"/>
      <c r="M13" s="44"/>
    </row>
    <row r="14" spans="1:15">
      <c r="A14" s="43"/>
      <c r="B14" s="65" t="s">
        <v>852</v>
      </c>
      <c r="C14" s="118">
        <v>4798</v>
      </c>
      <c r="D14" s="47"/>
      <c r="E14" s="151">
        <f>C14*MIN($G$4,4)/4</f>
        <v>1199.5</v>
      </c>
      <c r="F14" s="47"/>
      <c r="G14" s="50">
        <v>874</v>
      </c>
      <c r="H14" s="47"/>
      <c r="I14" s="151">
        <f t="shared" si="0"/>
        <v>-325.5</v>
      </c>
      <c r="J14" s="47"/>
      <c r="K14" s="188">
        <f t="shared" si="1"/>
        <v>-0.27136306794497705</v>
      </c>
      <c r="L14" s="61"/>
      <c r="M14" s="44"/>
    </row>
    <row r="15" spans="1:15">
      <c r="A15" s="43"/>
      <c r="B15" s="233" t="s">
        <v>853</v>
      </c>
      <c r="C15" s="118">
        <v>95251</v>
      </c>
      <c r="D15" s="47"/>
      <c r="E15" s="151">
        <f>C15*MIN($G$4,4)/4</f>
        <v>23812.75</v>
      </c>
      <c r="F15" s="47"/>
      <c r="G15" s="50">
        <f>241125-224892</f>
        <v>16233</v>
      </c>
      <c r="H15" s="47"/>
      <c r="I15" s="151">
        <f t="shared" si="0"/>
        <v>-7579.75</v>
      </c>
      <c r="J15" s="47"/>
      <c r="K15" s="188">
        <f t="shared" si="1"/>
        <v>-0.31830636948693453</v>
      </c>
      <c r="L15" s="61"/>
      <c r="M15" s="44"/>
    </row>
    <row r="16" spans="1:15">
      <c r="A16" s="43"/>
      <c r="B16" s="46" t="s">
        <v>650</v>
      </c>
      <c r="C16" s="51">
        <f>SUM(C11:C15)</f>
        <v>471730</v>
      </c>
      <c r="D16" s="47"/>
      <c r="E16" s="51">
        <f>SUM(E11:E15)</f>
        <v>117932.5</v>
      </c>
      <c r="F16" s="47"/>
      <c r="G16" s="51">
        <f>SUM(G11:G15)</f>
        <v>105693</v>
      </c>
      <c r="H16" s="47"/>
      <c r="I16" s="51">
        <f t="shared" si="0"/>
        <v>-12239.5</v>
      </c>
      <c r="J16" s="47"/>
      <c r="K16" s="463">
        <f t="shared" si="1"/>
        <v>-0.10378394420537172</v>
      </c>
      <c r="L16" s="61"/>
      <c r="M16" s="44"/>
    </row>
    <row r="17" spans="1:13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>
      <c r="A18" s="43"/>
      <c r="B18" s="46" t="s">
        <v>651</v>
      </c>
      <c r="C18" s="118">
        <v>172662</v>
      </c>
      <c r="D18" s="47"/>
      <c r="E18" s="151">
        <f t="shared" ref="E18:E25" si="2">C18*MIN($G$4,4)/4</f>
        <v>43165.5</v>
      </c>
      <c r="F18" s="47"/>
      <c r="G18" s="50">
        <v>41452</v>
      </c>
      <c r="H18" s="47"/>
      <c r="I18" s="151">
        <f t="shared" ref="I18:I25" si="3">G18-E18</f>
        <v>-1713.5</v>
      </c>
      <c r="J18" s="47"/>
      <c r="K18" s="188">
        <f t="shared" ref="K18:K25" si="4">IF(E18=0,0,I18/E18)</f>
        <v>-3.969605356129316E-2</v>
      </c>
      <c r="L18" s="61"/>
      <c r="M18" s="44"/>
    </row>
    <row r="19" spans="1:13">
      <c r="A19" s="43"/>
      <c r="B19" s="46" t="s">
        <v>652</v>
      </c>
      <c r="C19" s="118">
        <v>124812</v>
      </c>
      <c r="D19" s="47"/>
      <c r="E19" s="151">
        <f t="shared" si="2"/>
        <v>31203</v>
      </c>
      <c r="F19" s="47"/>
      <c r="G19" s="50">
        <v>29655</v>
      </c>
      <c r="H19" s="47"/>
      <c r="I19" s="151">
        <f t="shared" si="3"/>
        <v>-1548</v>
      </c>
      <c r="J19" s="47"/>
      <c r="K19" s="188">
        <f t="shared" si="4"/>
        <v>-4.9610614364003464E-2</v>
      </c>
      <c r="L19" s="61"/>
      <c r="M19" s="44"/>
    </row>
    <row r="20" spans="1:13">
      <c r="A20" s="43"/>
      <c r="B20" s="46" t="s">
        <v>653</v>
      </c>
      <c r="C20" s="118">
        <v>5517</v>
      </c>
      <c r="D20" s="47"/>
      <c r="E20" s="151">
        <f t="shared" si="2"/>
        <v>1379.25</v>
      </c>
      <c r="F20" s="47"/>
      <c r="G20" s="50">
        <v>392</v>
      </c>
      <c r="H20" s="47"/>
      <c r="I20" s="151">
        <f t="shared" si="3"/>
        <v>-987.25</v>
      </c>
      <c r="J20" s="47"/>
      <c r="K20" s="188">
        <f t="shared" si="4"/>
        <v>-0.71578756570599966</v>
      </c>
      <c r="L20" s="61"/>
      <c r="M20" s="44"/>
    </row>
    <row r="21" spans="1:13">
      <c r="A21" s="43"/>
      <c r="B21" s="46" t="s">
        <v>654</v>
      </c>
      <c r="C21" s="118">
        <v>51182</v>
      </c>
      <c r="D21" s="47"/>
      <c r="E21" s="151">
        <f t="shared" si="2"/>
        <v>12795.5</v>
      </c>
      <c r="F21" s="47"/>
      <c r="G21" s="50">
        <v>12796</v>
      </c>
      <c r="H21" s="47"/>
      <c r="I21" s="151">
        <f t="shared" si="3"/>
        <v>0.5</v>
      </c>
      <c r="J21" s="47"/>
      <c r="K21" s="188">
        <f t="shared" si="4"/>
        <v>3.9076237739830409E-5</v>
      </c>
      <c r="L21" s="61"/>
      <c r="M21" s="44"/>
    </row>
    <row r="22" spans="1:13">
      <c r="A22" s="43"/>
      <c r="B22" s="65" t="s">
        <v>655</v>
      </c>
      <c r="C22" s="118">
        <v>16505</v>
      </c>
      <c r="D22" s="47"/>
      <c r="E22" s="151">
        <f t="shared" si="2"/>
        <v>4126.25</v>
      </c>
      <c r="F22" s="47"/>
      <c r="G22" s="50">
        <v>3957</v>
      </c>
      <c r="H22" s="47"/>
      <c r="I22" s="151">
        <f t="shared" si="3"/>
        <v>-169.25</v>
      </c>
      <c r="J22" s="47"/>
      <c r="K22" s="188">
        <f t="shared" si="4"/>
        <v>-4.1017873371705545E-2</v>
      </c>
      <c r="L22" s="61"/>
      <c r="M22" s="44"/>
    </row>
    <row r="23" spans="1:13" ht="12" customHeight="1">
      <c r="A23" s="43"/>
      <c r="B23" s="46" t="s">
        <v>656</v>
      </c>
      <c r="C23" s="118">
        <f>7027+1000</f>
        <v>8027</v>
      </c>
      <c r="D23" s="47"/>
      <c r="E23" s="151">
        <f t="shared" si="2"/>
        <v>2006.75</v>
      </c>
      <c r="F23" s="47"/>
      <c r="G23" s="50">
        <v>2597</v>
      </c>
      <c r="H23" s="47"/>
      <c r="I23" s="151">
        <f t="shared" si="3"/>
        <v>590.25</v>
      </c>
      <c r="J23" s="47"/>
      <c r="K23" s="188">
        <f t="shared" si="4"/>
        <v>0.2941323034757693</v>
      </c>
      <c r="L23" s="61"/>
      <c r="M23" s="44"/>
    </row>
    <row r="24" spans="1:13" ht="3" hidden="1" customHeight="1">
      <c r="A24" s="43"/>
      <c r="B24" s="65"/>
      <c r="C24" s="468"/>
      <c r="D24" s="47"/>
      <c r="E24" s="469">
        <f t="shared" si="2"/>
        <v>0</v>
      </c>
      <c r="F24" s="47"/>
      <c r="G24" s="468"/>
      <c r="H24" s="47"/>
      <c r="I24" s="469">
        <f t="shared" si="3"/>
        <v>0</v>
      </c>
      <c r="J24" s="47"/>
      <c r="K24" s="470">
        <f t="shared" si="4"/>
        <v>0</v>
      </c>
      <c r="L24" s="61"/>
      <c r="M24" s="44"/>
    </row>
    <row r="25" spans="1:13" ht="23.25" customHeight="1">
      <c r="A25" s="43"/>
      <c r="B25" s="245" t="s">
        <v>657</v>
      </c>
      <c r="C25" s="234">
        <f>C16+SUM(C18:C24)</f>
        <v>850435</v>
      </c>
      <c r="D25" s="47"/>
      <c r="E25" s="234">
        <f t="shared" si="2"/>
        <v>212608.75</v>
      </c>
      <c r="F25" s="47"/>
      <c r="G25" s="121">
        <f>SUM(G18:G24)+G16</f>
        <v>196542</v>
      </c>
      <c r="H25" s="47"/>
      <c r="I25" s="235">
        <f t="shared" si="3"/>
        <v>-16066.75</v>
      </c>
      <c r="J25" s="47"/>
      <c r="K25" s="464">
        <f t="shared" si="4"/>
        <v>-7.5569561459723558E-2</v>
      </c>
      <c r="L25" s="61"/>
      <c r="M25" s="44"/>
    </row>
    <row r="26" spans="1:13" ht="4.5" customHeight="1">
      <c r="A26" s="43"/>
      <c r="B26" s="65"/>
      <c r="C26" s="236"/>
      <c r="D26" s="237"/>
      <c r="E26" s="236"/>
      <c r="F26" s="237"/>
      <c r="G26" s="68"/>
      <c r="H26" s="237"/>
      <c r="I26" s="238"/>
      <c r="J26" s="237"/>
      <c r="K26" s="239"/>
      <c r="L26" s="61"/>
      <c r="M26" s="44"/>
    </row>
    <row r="27" spans="1:13" hidden="1">
      <c r="A27" s="43"/>
      <c r="B27" s="65" t="s">
        <v>658</v>
      </c>
      <c r="C27" s="63"/>
      <c r="D27" s="47"/>
      <c r="E27" s="240">
        <f>C27*MIN($G$4,4)/4</f>
        <v>0</v>
      </c>
      <c r="F27" s="47"/>
      <c r="G27" s="63"/>
      <c r="H27" s="47"/>
      <c r="I27" s="240">
        <f>G27-E27</f>
        <v>0</v>
      </c>
      <c r="J27" s="47"/>
      <c r="K27" s="241">
        <f>IF(E27=0,0,I27/E27)</f>
        <v>0</v>
      </c>
      <c r="L27" s="61"/>
      <c r="M27" s="44"/>
    </row>
    <row r="28" spans="1:13">
      <c r="A28" s="43"/>
      <c r="B28" s="65" t="s">
        <v>659</v>
      </c>
      <c r="C28" s="50"/>
      <c r="D28" s="47"/>
      <c r="E28" s="151">
        <f>C28*MIN($G$4,4)/4</f>
        <v>0</v>
      </c>
      <c r="F28" s="47"/>
      <c r="G28" s="50">
        <v>8200</v>
      </c>
      <c r="H28" s="47"/>
      <c r="I28" s="151">
        <f>G28-E28</f>
        <v>8200</v>
      </c>
      <c r="J28" s="47"/>
      <c r="K28" s="188">
        <f>IF(E28=0,0,I28/E28)</f>
        <v>0</v>
      </c>
      <c r="L28" s="61"/>
      <c r="M28" s="44"/>
    </row>
    <row r="29" spans="1:13">
      <c r="A29" s="43"/>
      <c r="B29" s="65" t="s">
        <v>660</v>
      </c>
      <c r="C29" s="118">
        <v>74520</v>
      </c>
      <c r="D29" s="47"/>
      <c r="E29" s="151">
        <f>C29*MIN($G$4,4)/4</f>
        <v>18630</v>
      </c>
      <c r="F29" s="47"/>
      <c r="G29" s="50">
        <v>36382</v>
      </c>
      <c r="H29" s="47"/>
      <c r="I29" s="151">
        <f>G29-E29</f>
        <v>17752</v>
      </c>
      <c r="J29" s="47"/>
      <c r="K29" s="188">
        <f>IF(E29=0,0,I29/E29)</f>
        <v>0.95287171229200218</v>
      </c>
      <c r="L29" s="61"/>
      <c r="M29" s="44"/>
    </row>
    <row r="30" spans="1:13" ht="13.5" thickBot="1">
      <c r="A30" s="43"/>
      <c r="B30" s="46" t="s">
        <v>661</v>
      </c>
      <c r="C30" s="51">
        <f>SUM(C27:C29)+C25</f>
        <v>924955</v>
      </c>
      <c r="D30" s="47"/>
      <c r="E30" s="51">
        <f>SUM(E27:E29)+E25</f>
        <v>231238.75</v>
      </c>
      <c r="F30" s="47"/>
      <c r="G30" s="51">
        <f>SUM(G27:G29)+G25</f>
        <v>241124</v>
      </c>
      <c r="H30" s="47"/>
      <c r="I30" s="51">
        <f>G30-E30</f>
        <v>9885.25</v>
      </c>
      <c r="J30" s="47"/>
      <c r="K30" s="465">
        <f>IF(E30=0,0,I30/E30)</f>
        <v>4.2749106713299567E-2</v>
      </c>
      <c r="L30" s="61"/>
      <c r="M30" s="44"/>
    </row>
    <row r="31" spans="1:13" ht="21.75" customHeight="1" thickTop="1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>
      <c r="A32" s="43"/>
      <c r="B32" s="46" t="s">
        <v>663</v>
      </c>
      <c r="C32" s="118">
        <v>243960</v>
      </c>
      <c r="D32" s="47"/>
      <c r="E32" s="151">
        <f>C32*MIN($G$4,4)/4</f>
        <v>60990</v>
      </c>
      <c r="F32" s="47"/>
      <c r="G32" s="50">
        <v>58326</v>
      </c>
      <c r="H32" s="47"/>
      <c r="I32" s="151">
        <f>G32-E32</f>
        <v>-2664</v>
      </c>
      <c r="J32" s="47"/>
      <c r="K32" s="188">
        <f>IF(E32=0,0,I32/E32)</f>
        <v>-4.3679291687161829E-2</v>
      </c>
      <c r="L32" s="61"/>
      <c r="M32" s="44"/>
    </row>
    <row r="33" spans="1:13">
      <c r="A33" s="43"/>
      <c r="B33" s="46" t="s">
        <v>664</v>
      </c>
      <c r="C33" s="118">
        <v>155104</v>
      </c>
      <c r="D33" s="47"/>
      <c r="E33" s="151">
        <f>C33*MIN($G$4,4)/4</f>
        <v>38776</v>
      </c>
      <c r="F33" s="47"/>
      <c r="G33" s="50">
        <f>245753-213862</f>
        <v>31891</v>
      </c>
      <c r="H33" s="47"/>
      <c r="I33" s="151">
        <f>G33-E33</f>
        <v>-6885</v>
      </c>
      <c r="J33" s="47"/>
      <c r="K33" s="188">
        <f>IF(E33=0,0,I33/E33)</f>
        <v>-0.17755828347431402</v>
      </c>
      <c r="L33" s="61"/>
      <c r="M33" s="44"/>
    </row>
    <row r="34" spans="1:13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8">
        <f>IF(E34=0,0,I34/E34)</f>
        <v>0</v>
      </c>
      <c r="L34" s="61"/>
      <c r="M34" s="44"/>
    </row>
    <row r="35" spans="1:13">
      <c r="A35" s="43"/>
      <c r="B35" s="46" t="s">
        <v>666</v>
      </c>
      <c r="C35" s="51">
        <f>SUM(C32:C34)</f>
        <v>399064</v>
      </c>
      <c r="D35" s="47"/>
      <c r="E35" s="51">
        <f>SUM(E32:E34)</f>
        <v>99766</v>
      </c>
      <c r="F35" s="47"/>
      <c r="G35" s="51">
        <f>SUM(G32:G34)</f>
        <v>90217</v>
      </c>
      <c r="H35" s="47"/>
      <c r="I35" s="51">
        <f>G35-E35</f>
        <v>-9549</v>
      </c>
      <c r="J35" s="47"/>
      <c r="K35" s="243">
        <f>IF(E35=0,0,I35/E35)</f>
        <v>-9.5713970691417918E-2</v>
      </c>
      <c r="L35" s="61"/>
      <c r="M35" s="44"/>
    </row>
    <row r="36" spans="1:13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>
      <c r="A37" s="43"/>
      <c r="B37" s="46" t="s">
        <v>667</v>
      </c>
      <c r="C37" s="118">
        <v>163339</v>
      </c>
      <c r="D37" s="47"/>
      <c r="E37" s="151">
        <f>C37*MIN($G$4,4)/4</f>
        <v>40834.75</v>
      </c>
      <c r="F37" s="47"/>
      <c r="G37" s="50">
        <f>39861-220</f>
        <v>39641</v>
      </c>
      <c r="H37" s="47"/>
      <c r="I37" s="151">
        <f t="shared" ref="I37:I42" si="5">G37-E37</f>
        <v>-1193.75</v>
      </c>
      <c r="J37" s="47"/>
      <c r="K37" s="188">
        <f t="shared" ref="K37:K42" si="6">IF(E37=0,0,I37/E37)</f>
        <v>-2.9233679647848954E-2</v>
      </c>
      <c r="L37" s="61"/>
      <c r="M37" s="44"/>
    </row>
    <row r="38" spans="1:13">
      <c r="A38" s="43"/>
      <c r="B38" s="46" t="s">
        <v>668</v>
      </c>
      <c r="C38" s="118">
        <v>104520</v>
      </c>
      <c r="D38" s="47"/>
      <c r="E38" s="151">
        <f>C38*MIN($G$4,4)/4</f>
        <v>26130</v>
      </c>
      <c r="F38" s="47"/>
      <c r="G38" s="50">
        <v>23351</v>
      </c>
      <c r="H38" s="47"/>
      <c r="I38" s="151">
        <f t="shared" si="5"/>
        <v>-2779</v>
      </c>
      <c r="J38" s="47"/>
      <c r="K38" s="188">
        <f t="shared" si="6"/>
        <v>-0.10635285112897053</v>
      </c>
      <c r="L38" s="61"/>
      <c r="M38" s="44"/>
    </row>
    <row r="39" spans="1:13">
      <c r="A39" s="43"/>
      <c r="B39" s="46" t="s">
        <v>669</v>
      </c>
      <c r="C39" s="51">
        <f>SUM(C37:C38)</f>
        <v>267859</v>
      </c>
      <c r="D39" s="47"/>
      <c r="E39" s="51">
        <f>SUM(E37:E38)</f>
        <v>66964.75</v>
      </c>
      <c r="F39" s="47"/>
      <c r="G39" s="51">
        <f>SUM(G37:G38)</f>
        <v>62992</v>
      </c>
      <c r="H39" s="47"/>
      <c r="I39" s="51">
        <f t="shared" si="5"/>
        <v>-3972.75</v>
      </c>
      <c r="J39" s="47"/>
      <c r="K39" s="244">
        <f t="shared" si="6"/>
        <v>-5.9325988673145202E-2</v>
      </c>
      <c r="L39" s="61"/>
      <c r="M39" s="44"/>
    </row>
    <row r="40" spans="1:13">
      <c r="A40" s="43"/>
      <c r="B40" s="46" t="s">
        <v>670</v>
      </c>
      <c r="C40" s="122">
        <v>28469</v>
      </c>
      <c r="D40" s="47"/>
      <c r="E40" s="240">
        <f>C40*MIN($G$4,4)/4</f>
        <v>7117.25</v>
      </c>
      <c r="F40" s="47"/>
      <c r="G40" s="63">
        <f>6313+220</f>
        <v>6533</v>
      </c>
      <c r="H40" s="47"/>
      <c r="I40" s="240">
        <f t="shared" si="5"/>
        <v>-584.25</v>
      </c>
      <c r="J40" s="47"/>
      <c r="K40" s="188">
        <f t="shared" si="6"/>
        <v>-8.2089290105026524E-2</v>
      </c>
      <c r="L40" s="61"/>
      <c r="M40" s="44"/>
    </row>
    <row r="41" spans="1:13">
      <c r="A41" s="43"/>
      <c r="B41" s="46" t="s">
        <v>671</v>
      </c>
      <c r="C41" s="118">
        <v>145403</v>
      </c>
      <c r="D41" s="47"/>
      <c r="E41" s="151">
        <f>C41*MIN($G$4,4)/4</f>
        <v>36350.75</v>
      </c>
      <c r="F41" s="47"/>
      <c r="G41" s="50">
        <v>34926</v>
      </c>
      <c r="H41" s="47"/>
      <c r="I41" s="151">
        <f t="shared" si="5"/>
        <v>-1424.75</v>
      </c>
      <c r="J41" s="47"/>
      <c r="K41" s="188">
        <f t="shared" si="6"/>
        <v>-3.9194514556095815E-2</v>
      </c>
      <c r="L41" s="61"/>
      <c r="M41" s="44"/>
    </row>
    <row r="42" spans="1:13">
      <c r="A42" s="43"/>
      <c r="B42" s="46" t="s">
        <v>672</v>
      </c>
      <c r="C42" s="51">
        <f>SUM(C40:C41)</f>
        <v>173872</v>
      </c>
      <c r="D42" s="47"/>
      <c r="E42" s="51">
        <f>SUM(E40:E41)</f>
        <v>43468</v>
      </c>
      <c r="F42" s="47"/>
      <c r="G42" s="51">
        <f>SUM(G40:G41)</f>
        <v>41459</v>
      </c>
      <c r="H42" s="47"/>
      <c r="I42" s="51">
        <f t="shared" si="5"/>
        <v>-2009</v>
      </c>
      <c r="J42" s="47"/>
      <c r="K42" s="244">
        <f t="shared" si="6"/>
        <v>-4.6217907426152574E-2</v>
      </c>
      <c r="L42" s="61"/>
      <c r="M42" s="44"/>
    </row>
    <row r="43" spans="1:13" ht="4.5" customHeight="1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>
      <c r="A44" s="43"/>
      <c r="B44" s="245" t="s">
        <v>673</v>
      </c>
      <c r="C44" s="51">
        <f>C35+C39+C42</f>
        <v>840795</v>
      </c>
      <c r="D44" s="47"/>
      <c r="E44" s="51">
        <f>C44*MIN($G$4,4)/4</f>
        <v>210198.75</v>
      </c>
      <c r="F44" s="47"/>
      <c r="G44" s="51">
        <f>G35+G39+G42</f>
        <v>194668</v>
      </c>
      <c r="H44" s="47"/>
      <c r="I44" s="51">
        <f>G44-E44</f>
        <v>-15530.75</v>
      </c>
      <c r="J44" s="47"/>
      <c r="K44" s="244">
        <f>IF(E44=0,0,I44/E44)</f>
        <v>-7.3886024536301956E-2</v>
      </c>
      <c r="L44" s="61"/>
      <c r="M44" s="44"/>
    </row>
    <row r="45" spans="1:13">
      <c r="A45" s="43"/>
      <c r="B45" s="46" t="s">
        <v>674</v>
      </c>
      <c r="C45" s="122">
        <v>880</v>
      </c>
      <c r="D45" s="47"/>
      <c r="E45" s="240">
        <f>C45*MIN($G$4,4)/4</f>
        <v>220</v>
      </c>
      <c r="F45" s="47"/>
      <c r="G45" s="63">
        <v>223</v>
      </c>
      <c r="H45" s="47"/>
      <c r="I45" s="240">
        <f>G45-E45</f>
        <v>3</v>
      </c>
      <c r="J45" s="47"/>
      <c r="K45" s="241">
        <f>IF(E45=0,0,I45/E45)</f>
        <v>1.3636363636363636E-2</v>
      </c>
      <c r="L45" s="61"/>
      <c r="M45" s="44"/>
    </row>
    <row r="46" spans="1:13">
      <c r="A46" s="43"/>
      <c r="B46" s="46" t="s">
        <v>675</v>
      </c>
      <c r="C46" s="118">
        <v>24421</v>
      </c>
      <c r="D46" s="47"/>
      <c r="E46" s="151">
        <f>C46*MIN($G$4,4)/4</f>
        <v>6105.25</v>
      </c>
      <c r="F46" s="47"/>
      <c r="G46" s="50">
        <f>5846-223</f>
        <v>5623</v>
      </c>
      <c r="H46" s="47"/>
      <c r="I46" s="151">
        <f>G46-E46</f>
        <v>-482.25</v>
      </c>
      <c r="J46" s="47"/>
      <c r="K46" s="188">
        <f>IF(E46=0,0,I46/E46)</f>
        <v>-7.8989394373694774E-2</v>
      </c>
      <c r="L46" s="61"/>
      <c r="M46" s="44"/>
    </row>
    <row r="47" spans="1:13">
      <c r="A47" s="43"/>
      <c r="B47" s="46" t="s">
        <v>676</v>
      </c>
      <c r="C47" s="51">
        <f>SUM(C45:C46)</f>
        <v>25301</v>
      </c>
      <c r="D47" s="47"/>
      <c r="E47" s="51">
        <f>SUM(E45:E46)</f>
        <v>6325.25</v>
      </c>
      <c r="F47" s="47"/>
      <c r="G47" s="51">
        <f>SUM(G45:G46)</f>
        <v>5846</v>
      </c>
      <c r="H47" s="47"/>
      <c r="I47" s="51">
        <f>G47-E47</f>
        <v>-479.25</v>
      </c>
      <c r="J47" s="47"/>
      <c r="K47" s="244">
        <f>IF(E47=0,0,I47/E47)</f>
        <v>-7.576775621516936E-2</v>
      </c>
      <c r="L47" s="61"/>
      <c r="M47" s="44"/>
    </row>
    <row r="48" spans="1:13" ht="4.5" customHeight="1">
      <c r="A48" s="43"/>
      <c r="B48" s="46"/>
      <c r="C48" s="246"/>
      <c r="D48" s="237"/>
      <c r="E48" s="246"/>
      <c r="F48" s="237"/>
      <c r="G48" s="246"/>
      <c r="H48" s="237"/>
      <c r="I48" s="246"/>
      <c r="J48" s="237"/>
      <c r="K48" s="247"/>
      <c r="L48" s="61"/>
      <c r="M48" s="44"/>
    </row>
    <row r="49" spans="1:13" ht="12.75" customHeight="1">
      <c r="A49" s="43"/>
      <c r="B49" s="46" t="s">
        <v>677</v>
      </c>
      <c r="C49" s="122">
        <v>2899</v>
      </c>
      <c r="D49" s="47"/>
      <c r="E49" s="240">
        <f>C49*MIN($G$4,4)/4</f>
        <v>724.75</v>
      </c>
      <c r="F49" s="47"/>
      <c r="G49" s="63">
        <v>1012</v>
      </c>
      <c r="H49" s="47"/>
      <c r="I49" s="240">
        <f>G49-E49</f>
        <v>287.25</v>
      </c>
      <c r="J49" s="47"/>
      <c r="K49" s="241">
        <f>IF(E49=0,0,I49/E49)</f>
        <v>0.39634356674715421</v>
      </c>
      <c r="L49" s="61"/>
      <c r="M49" s="44"/>
    </row>
    <row r="50" spans="1:13" ht="12.75" customHeight="1">
      <c r="A50" s="43"/>
      <c r="B50" s="248" t="s">
        <v>678</v>
      </c>
      <c r="C50" s="118">
        <v>960</v>
      </c>
      <c r="D50" s="47"/>
      <c r="E50" s="151">
        <f>C50*MIN($G$4,4)/4</f>
        <v>240</v>
      </c>
      <c r="F50" s="47"/>
      <c r="G50" s="50">
        <v>125</v>
      </c>
      <c r="H50" s="47"/>
      <c r="I50" s="151">
        <f>G50-E50</f>
        <v>-115</v>
      </c>
      <c r="J50" s="47"/>
      <c r="K50" s="188">
        <f>IF(E50=0,0,I50/E50)</f>
        <v>-0.47916666666666669</v>
      </c>
      <c r="L50" s="61"/>
      <c r="M50" s="44"/>
    </row>
    <row r="51" spans="1:13" ht="24" customHeight="1">
      <c r="A51" s="43"/>
      <c r="B51" s="248" t="s">
        <v>679</v>
      </c>
      <c r="C51" s="234">
        <f>C44+C47+C49+C50</f>
        <v>869955</v>
      </c>
      <c r="D51" s="47"/>
      <c r="E51" s="249">
        <f>C51*MIN($G$4,4)/4</f>
        <v>217488.75</v>
      </c>
      <c r="F51" s="47"/>
      <c r="G51" s="234">
        <f>G44+G47+G49+G50</f>
        <v>201651</v>
      </c>
      <c r="H51" s="47"/>
      <c r="I51" s="249">
        <f>G51-E51</f>
        <v>-15837.75</v>
      </c>
      <c r="J51" s="47"/>
      <c r="K51" s="250">
        <f>IF(E51=0,0,I51/E51)</f>
        <v>-7.2821007983171537E-2</v>
      </c>
      <c r="L51" s="61"/>
      <c r="M51" s="44"/>
    </row>
    <row r="52" spans="1:13" ht="4.5" customHeight="1">
      <c r="A52" s="43"/>
      <c r="B52" s="248"/>
      <c r="C52" s="236"/>
      <c r="D52" s="237"/>
      <c r="E52" s="238"/>
      <c r="F52" s="237"/>
      <c r="G52" s="236"/>
      <c r="H52" s="237"/>
      <c r="I52" s="238"/>
      <c r="J52" s="237"/>
      <c r="K52" s="251"/>
      <c r="L52" s="61"/>
      <c r="M52" s="44"/>
    </row>
    <row r="53" spans="1:13" ht="12.75" customHeight="1">
      <c r="A53" s="43"/>
      <c r="B53" s="248" t="s">
        <v>692</v>
      </c>
      <c r="C53" s="63"/>
      <c r="D53" s="47"/>
      <c r="E53" s="240">
        <f>C53*MIN($G$4,4)/4</f>
        <v>0</v>
      </c>
      <c r="F53" s="47"/>
      <c r="G53" s="63">
        <v>8200</v>
      </c>
      <c r="H53" s="47"/>
      <c r="I53" s="240">
        <f>G53-E53</f>
        <v>8200</v>
      </c>
      <c r="J53" s="47"/>
      <c r="K53" s="241">
        <f>IF(E53=0,0,I53/E53)</f>
        <v>0</v>
      </c>
      <c r="L53" s="61"/>
      <c r="M53" s="44"/>
    </row>
    <row r="54" spans="1:13" ht="12.75" customHeight="1">
      <c r="A54" s="43"/>
      <c r="B54" s="248" t="s">
        <v>681</v>
      </c>
      <c r="C54" s="118">
        <v>74000</v>
      </c>
      <c r="D54" s="47"/>
      <c r="E54" s="151">
        <f>C54*MIN($G$4,4)/4</f>
        <v>18500</v>
      </c>
      <c r="F54" s="47"/>
      <c r="G54" s="118">
        <v>35902</v>
      </c>
      <c r="H54" s="47"/>
      <c r="I54" s="151">
        <f>G54-E54</f>
        <v>17402</v>
      </c>
      <c r="J54" s="47"/>
      <c r="K54" s="188">
        <f>IF(E54=0,0,I54/E54)</f>
        <v>0.94064864864864861</v>
      </c>
      <c r="L54" s="61"/>
      <c r="M54" s="44"/>
    </row>
    <row r="55" spans="1:13" ht="13.5" thickBot="1">
      <c r="A55" s="43"/>
      <c r="B55" s="46" t="s">
        <v>682</v>
      </c>
      <c r="C55" s="51">
        <f>C51+C53+C54</f>
        <v>943955</v>
      </c>
      <c r="D55" s="47"/>
      <c r="E55" s="51">
        <f>E51+E53+E54</f>
        <v>235988.75</v>
      </c>
      <c r="F55" s="47"/>
      <c r="G55" s="51">
        <f>G51+G53+G54</f>
        <v>245753</v>
      </c>
      <c r="H55" s="47"/>
      <c r="I55" s="51">
        <f>G55-E55</f>
        <v>9764.25</v>
      </c>
      <c r="J55" s="47"/>
      <c r="K55" s="242">
        <f>IF(E55=0,0,I55/E55)</f>
        <v>4.1375913046702441E-2</v>
      </c>
      <c r="L55" s="61"/>
      <c r="M55" s="44"/>
    </row>
    <row r="56" spans="1:13" ht="13.5" thickTop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>
      <c r="A57" s="43"/>
      <c r="B57" s="46" t="s">
        <v>683</v>
      </c>
      <c r="C57" s="52">
        <f>C30-C55</f>
        <v>-19000</v>
      </c>
      <c r="D57" s="47"/>
      <c r="E57" s="52">
        <f>E30-E55</f>
        <v>-4750</v>
      </c>
      <c r="F57" s="47"/>
      <c r="G57" s="52">
        <f>G30-G55</f>
        <v>-4629</v>
      </c>
      <c r="H57" s="47"/>
      <c r="I57" s="52">
        <f>I30-I55</f>
        <v>121</v>
      </c>
      <c r="J57" s="47"/>
      <c r="K57" s="242">
        <f>IF(E57=0,0,I57/E57)</f>
        <v>-2.5473684210526315E-2</v>
      </c>
      <c r="L57" s="61"/>
      <c r="M57" s="44"/>
    </row>
    <row r="58" spans="1:13" ht="13.5" thickTop="1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2"/>
      <c r="M58" s="44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/>
    <row r="155" spans="2:11" ht="33.75" customHeight="1">
      <c r="B155" s="253"/>
      <c r="C155" s="253"/>
      <c r="D155" s="254"/>
      <c r="E155" s="253"/>
      <c r="F155" s="254"/>
      <c r="G155" s="253"/>
      <c r="H155" s="254"/>
      <c r="I155" s="253"/>
      <c r="J155" s="254"/>
      <c r="K155" s="253"/>
    </row>
    <row r="156" spans="2:11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</row>
    <row r="157" spans="2:11">
      <c r="B157" s="256"/>
      <c r="C157" s="255"/>
      <c r="D157" s="255"/>
      <c r="E157" s="255"/>
      <c r="F157" s="255"/>
      <c r="G157" s="255"/>
      <c r="H157" s="255"/>
      <c r="I157" s="255"/>
      <c r="J157" s="255"/>
      <c r="K157" s="255"/>
    </row>
    <row r="158" spans="2:11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</row>
    <row r="159" spans="2:11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</row>
    <row r="160" spans="2:11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</row>
    <row r="161" spans="2:1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</row>
    <row r="163" spans="2:1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</row>
    <row r="165" spans="2:11"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</row>
    <row r="166" spans="2:11"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</row>
    <row r="167" spans="2:11"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</row>
    <row r="168" spans="2:11"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</row>
    <row r="169" spans="2:11"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</row>
    <row r="170" spans="2:11"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</row>
    <row r="171" spans="2:11"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</row>
    <row r="172" spans="2:11"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</row>
    <row r="173" spans="2:11"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</row>
    <row r="174" spans="2:11">
      <c r="B174" s="256"/>
      <c r="C174" s="255"/>
      <c r="D174" s="255"/>
      <c r="E174" s="255"/>
      <c r="F174" s="255"/>
      <c r="G174" s="255"/>
      <c r="H174" s="255"/>
      <c r="I174" s="255"/>
      <c r="J174" s="255"/>
      <c r="K174" s="255"/>
    </row>
    <row r="175" spans="2:11"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</row>
    <row r="176" spans="2:11"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</row>
    <row r="177" spans="2:11"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</row>
    <row r="178" spans="2:11"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</row>
    <row r="179" spans="2:11"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</row>
    <row r="180" spans="2:11"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</row>
    <row r="181" spans="2:11"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</row>
    <row r="182" spans="2:11"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</row>
    <row r="183" spans="2:11"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</row>
    <row r="184" spans="2:11"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</row>
    <row r="185" spans="2:11"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</row>
    <row r="186" spans="2:11"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</row>
    <row r="187" spans="2:11"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</row>
    <row r="188" spans="2:11"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</row>
    <row r="189" spans="2:11"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</row>
    <row r="190" spans="2:11"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</row>
    <row r="191" spans="2:11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</row>
    <row r="192" spans="2:11"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</row>
    <row r="193" spans="2:13"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</row>
    <row r="194" spans="2:13">
      <c r="B194" s="256"/>
      <c r="C194" s="255"/>
      <c r="D194" s="255"/>
      <c r="E194" s="255"/>
      <c r="F194" s="255"/>
      <c r="G194" s="255"/>
      <c r="H194" s="255"/>
      <c r="I194" s="255"/>
      <c r="J194" s="255"/>
      <c r="K194" s="255"/>
    </row>
    <row r="195" spans="2:13">
      <c r="B195" s="42">
        <f t="shared" ref="B195:M195" si="7">B58</f>
        <v>0</v>
      </c>
      <c r="C195" s="255">
        <f t="shared" si="7"/>
        <v>0</v>
      </c>
      <c r="D195" s="255">
        <f t="shared" si="7"/>
        <v>0</v>
      </c>
      <c r="E195" s="255">
        <f t="shared" si="7"/>
        <v>0</v>
      </c>
      <c r="F195" s="255">
        <f t="shared" si="7"/>
        <v>0</v>
      </c>
      <c r="G195" s="255">
        <f t="shared" si="7"/>
        <v>0</v>
      </c>
      <c r="H195" s="255">
        <f t="shared" si="7"/>
        <v>0</v>
      </c>
      <c r="I195" s="255">
        <f t="shared" si="7"/>
        <v>0</v>
      </c>
      <c r="J195" s="255">
        <f t="shared" si="7"/>
        <v>0</v>
      </c>
      <c r="K195" s="255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>
      <c r="B314" s="633" t="str">
        <f>C1</f>
        <v>עיריית בת-ים</v>
      </c>
      <c r="C314" s="633"/>
      <c r="D314" s="633"/>
      <c r="E314" s="633"/>
      <c r="F314" s="633"/>
      <c r="G314" s="633"/>
      <c r="H314" s="633"/>
      <c r="I314" s="633"/>
      <c r="J314" s="633"/>
      <c r="K314" s="633"/>
      <c r="L314" s="633"/>
    </row>
    <row r="315" spans="2:12" ht="18">
      <c r="B315" s="633" t="str">
        <f>C2</f>
        <v>תמצית נתוני התקציב הרגיל באלפי ₪</v>
      </c>
      <c r="C315" s="633"/>
      <c r="D315" s="633"/>
      <c r="E315" s="633"/>
      <c r="F315" s="633"/>
      <c r="G315" s="633"/>
      <c r="H315" s="633"/>
      <c r="I315" s="633"/>
      <c r="J315" s="633"/>
      <c r="K315" s="633"/>
      <c r="L315" s="633"/>
    </row>
    <row r="316" spans="2:12" ht="18">
      <c r="B316" s="633" t="str">
        <f>C3</f>
        <v>לתקופה: רבעון 1, שנת 2021</v>
      </c>
      <c r="C316" s="633"/>
      <c r="D316" s="633"/>
      <c r="E316" s="633"/>
      <c r="F316" s="633"/>
      <c r="G316" s="633"/>
      <c r="H316" s="633"/>
      <c r="I316" s="633"/>
      <c r="J316" s="633"/>
      <c r="K316" s="633"/>
      <c r="L316" s="633"/>
    </row>
    <row r="317" spans="2:12">
      <c r="B317" s="257">
        <f t="shared" ref="B317:L332" si="8">B5</f>
        <v>0</v>
      </c>
      <c r="C317" s="258">
        <f t="shared" si="8"/>
        <v>0</v>
      </c>
      <c r="D317" s="258">
        <f t="shared" si="8"/>
        <v>0</v>
      </c>
      <c r="E317" s="258">
        <f t="shared" si="8"/>
        <v>0</v>
      </c>
      <c r="F317" s="258">
        <f t="shared" si="8"/>
        <v>0</v>
      </c>
      <c r="G317" s="258">
        <f t="shared" si="8"/>
        <v>0</v>
      </c>
      <c r="H317" s="258">
        <f t="shared" si="8"/>
        <v>0</v>
      </c>
      <c r="I317" s="258">
        <f t="shared" si="8"/>
        <v>0</v>
      </c>
      <c r="J317" s="258">
        <f t="shared" si="8"/>
        <v>0</v>
      </c>
      <c r="K317" s="258">
        <f t="shared" si="8"/>
        <v>0</v>
      </c>
      <c r="L317" s="258">
        <f t="shared" si="8"/>
        <v>0</v>
      </c>
    </row>
    <row r="318" spans="2:12">
      <c r="B318" s="258">
        <f t="shared" si="8"/>
        <v>0</v>
      </c>
      <c r="C318" s="258">
        <f t="shared" si="8"/>
        <v>0</v>
      </c>
      <c r="D318" s="258">
        <f t="shared" si="8"/>
        <v>0</v>
      </c>
      <c r="E318" s="258">
        <f t="shared" si="8"/>
        <v>0</v>
      </c>
      <c r="F318" s="258">
        <f t="shared" si="8"/>
        <v>0</v>
      </c>
      <c r="G318" s="258">
        <f t="shared" si="8"/>
        <v>0</v>
      </c>
      <c r="H318" s="258">
        <f t="shared" si="8"/>
        <v>0</v>
      </c>
      <c r="I318" s="258">
        <f t="shared" si="8"/>
        <v>0</v>
      </c>
      <c r="J318" s="258">
        <f t="shared" si="8"/>
        <v>0</v>
      </c>
      <c r="K318" s="258">
        <f t="shared" si="8"/>
        <v>0</v>
      </c>
      <c r="L318" s="258">
        <f t="shared" si="8"/>
        <v>0</v>
      </c>
    </row>
    <row r="319" spans="2:12" ht="25.5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>
      <c r="B323" s="82" t="str">
        <f t="shared" si="8"/>
        <v>ארנונה כללית</v>
      </c>
      <c r="C323" s="86">
        <f t="shared" si="8"/>
        <v>352500</v>
      </c>
      <c r="D323" s="83">
        <f t="shared" si="8"/>
        <v>0</v>
      </c>
      <c r="E323" s="259">
        <f t="shared" si="8"/>
        <v>88125</v>
      </c>
      <c r="F323" s="83">
        <f t="shared" si="8"/>
        <v>0</v>
      </c>
      <c r="G323" s="86">
        <f t="shared" si="8"/>
        <v>85402</v>
      </c>
      <c r="H323" s="83">
        <f t="shared" si="8"/>
        <v>0</v>
      </c>
      <c r="I323" s="259">
        <f t="shared" si="8"/>
        <v>-2723</v>
      </c>
      <c r="J323" s="83">
        <f t="shared" si="8"/>
        <v>0</v>
      </c>
      <c r="K323" s="260">
        <f t="shared" si="8"/>
        <v>-3.0899290780141843E-2</v>
      </c>
      <c r="L323" s="84">
        <f t="shared" si="8"/>
        <v>0</v>
      </c>
    </row>
    <row r="324" spans="2:1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1">
        <f t="shared" si="8"/>
        <v>25</v>
      </c>
      <c r="F324" s="83">
        <f t="shared" si="8"/>
        <v>0</v>
      </c>
      <c r="G324" s="87">
        <f t="shared" si="8"/>
        <v>14</v>
      </c>
      <c r="H324" s="83">
        <f t="shared" si="8"/>
        <v>0</v>
      </c>
      <c r="I324" s="261">
        <f t="shared" si="8"/>
        <v>-11</v>
      </c>
      <c r="J324" s="83">
        <f t="shared" si="8"/>
        <v>0</v>
      </c>
      <c r="K324" s="262">
        <f t="shared" si="8"/>
        <v>-0.44</v>
      </c>
      <c r="L324" s="84">
        <f t="shared" si="8"/>
        <v>0</v>
      </c>
    </row>
    <row r="325" spans="2:12">
      <c r="B325" s="82" t="str">
        <f t="shared" si="8"/>
        <v>עצמיות חינוך</v>
      </c>
      <c r="C325" s="87">
        <f t="shared" si="8"/>
        <v>19081</v>
      </c>
      <c r="D325" s="83">
        <f t="shared" si="8"/>
        <v>0</v>
      </c>
      <c r="E325" s="261">
        <f t="shared" si="8"/>
        <v>4770.25</v>
      </c>
      <c r="F325" s="83">
        <f t="shared" si="8"/>
        <v>0</v>
      </c>
      <c r="G325" s="87">
        <f t="shared" si="8"/>
        <v>3170</v>
      </c>
      <c r="H325" s="83">
        <f t="shared" si="8"/>
        <v>0</v>
      </c>
      <c r="I325" s="261">
        <f t="shared" si="8"/>
        <v>-1600.25</v>
      </c>
      <c r="J325" s="83">
        <f t="shared" si="8"/>
        <v>0</v>
      </c>
      <c r="K325" s="262">
        <f t="shared" si="8"/>
        <v>-0.33546459829149416</v>
      </c>
      <c r="L325" s="84">
        <f t="shared" si="8"/>
        <v>0</v>
      </c>
    </row>
    <row r="326" spans="2:12">
      <c r="B326" s="82" t="str">
        <f t="shared" si="8"/>
        <v>עצמיות רווחה</v>
      </c>
      <c r="C326" s="87">
        <f t="shared" si="8"/>
        <v>4798</v>
      </c>
      <c r="D326" s="83">
        <f t="shared" si="8"/>
        <v>0</v>
      </c>
      <c r="E326" s="261">
        <f t="shared" si="8"/>
        <v>1199.5</v>
      </c>
      <c r="F326" s="83">
        <f t="shared" si="8"/>
        <v>0</v>
      </c>
      <c r="G326" s="87">
        <f t="shared" si="8"/>
        <v>874</v>
      </c>
      <c r="H326" s="83">
        <f t="shared" si="8"/>
        <v>0</v>
      </c>
      <c r="I326" s="261">
        <f t="shared" si="8"/>
        <v>-325.5</v>
      </c>
      <c r="J326" s="83">
        <f t="shared" si="8"/>
        <v>0</v>
      </c>
      <c r="K326" s="262">
        <f t="shared" si="8"/>
        <v>-0.27136306794497705</v>
      </c>
      <c r="L326" s="84">
        <f t="shared" si="8"/>
        <v>0</v>
      </c>
    </row>
    <row r="327" spans="2:12">
      <c r="B327" s="263" t="str">
        <f t="shared" si="8"/>
        <v>עצמיות אחר</v>
      </c>
      <c r="C327" s="87">
        <f t="shared" si="8"/>
        <v>95251</v>
      </c>
      <c r="D327" s="83">
        <f t="shared" si="8"/>
        <v>0</v>
      </c>
      <c r="E327" s="261">
        <f t="shared" si="8"/>
        <v>23812.75</v>
      </c>
      <c r="F327" s="83">
        <f t="shared" si="8"/>
        <v>0</v>
      </c>
      <c r="G327" s="87">
        <f t="shared" si="8"/>
        <v>16233</v>
      </c>
      <c r="H327" s="83">
        <f t="shared" si="8"/>
        <v>0</v>
      </c>
      <c r="I327" s="261">
        <f t="shared" si="8"/>
        <v>-7579.75</v>
      </c>
      <c r="J327" s="83">
        <f t="shared" si="8"/>
        <v>0</v>
      </c>
      <c r="K327" s="262">
        <f t="shared" si="8"/>
        <v>-0.31830636948693453</v>
      </c>
      <c r="L327" s="84">
        <f t="shared" si="8"/>
        <v>0</v>
      </c>
    </row>
    <row r="328" spans="2:12">
      <c r="B328" s="82" t="str">
        <f t="shared" si="8"/>
        <v>סה"כ עצמיות</v>
      </c>
      <c r="C328" s="88">
        <f t="shared" si="8"/>
        <v>471730</v>
      </c>
      <c r="D328" s="83">
        <f t="shared" si="8"/>
        <v>0</v>
      </c>
      <c r="E328" s="88">
        <f t="shared" si="8"/>
        <v>117932.5</v>
      </c>
      <c r="F328" s="83">
        <f t="shared" si="8"/>
        <v>0</v>
      </c>
      <c r="G328" s="88">
        <f t="shared" si="8"/>
        <v>105693</v>
      </c>
      <c r="H328" s="83">
        <f t="shared" si="8"/>
        <v>0</v>
      </c>
      <c r="I328" s="88">
        <f t="shared" si="8"/>
        <v>-12239.5</v>
      </c>
      <c r="J328" s="83">
        <f t="shared" si="8"/>
        <v>0</v>
      </c>
      <c r="K328" s="466">
        <f t="shared" si="8"/>
        <v>-0.10378394420537172</v>
      </c>
      <c r="L328" s="84">
        <f t="shared" si="8"/>
        <v>0</v>
      </c>
    </row>
    <row r="329" spans="2:1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>
      <c r="B330" s="82" t="str">
        <f t="shared" si="8"/>
        <v>תקבולים ממשרד החינוך</v>
      </c>
      <c r="C330" s="86">
        <f t="shared" si="8"/>
        <v>172662</v>
      </c>
      <c r="D330" s="83">
        <f t="shared" si="8"/>
        <v>0</v>
      </c>
      <c r="E330" s="259">
        <f t="shared" si="8"/>
        <v>43165.5</v>
      </c>
      <c r="F330" s="83">
        <f t="shared" si="8"/>
        <v>0</v>
      </c>
      <c r="G330" s="86">
        <f t="shared" si="8"/>
        <v>41452</v>
      </c>
      <c r="H330" s="83">
        <f t="shared" si="8"/>
        <v>0</v>
      </c>
      <c r="I330" s="259">
        <f t="shared" si="8"/>
        <v>-1713.5</v>
      </c>
      <c r="J330" s="83">
        <f t="shared" si="8"/>
        <v>0</v>
      </c>
      <c r="K330" s="260">
        <f t="shared" si="8"/>
        <v>-3.969605356129316E-2</v>
      </c>
      <c r="L330" s="84">
        <f t="shared" si="8"/>
        <v>0</v>
      </c>
    </row>
    <row r="331" spans="2:12">
      <c r="B331" s="82" t="str">
        <f t="shared" si="8"/>
        <v>תקבולים ממשרד הרווחה</v>
      </c>
      <c r="C331" s="87">
        <f t="shared" si="8"/>
        <v>124812</v>
      </c>
      <c r="D331" s="83">
        <f t="shared" si="8"/>
        <v>0</v>
      </c>
      <c r="E331" s="261">
        <f t="shared" si="8"/>
        <v>31203</v>
      </c>
      <c r="F331" s="83">
        <f t="shared" si="8"/>
        <v>0</v>
      </c>
      <c r="G331" s="87">
        <f t="shared" si="8"/>
        <v>29655</v>
      </c>
      <c r="H331" s="83">
        <f t="shared" si="8"/>
        <v>0</v>
      </c>
      <c r="I331" s="261">
        <f t="shared" si="8"/>
        <v>-1548</v>
      </c>
      <c r="J331" s="83">
        <f t="shared" si="8"/>
        <v>0</v>
      </c>
      <c r="K331" s="262">
        <f t="shared" si="8"/>
        <v>-4.9610614364003464E-2</v>
      </c>
      <c r="L331" s="84">
        <f t="shared" si="8"/>
        <v>0</v>
      </c>
    </row>
    <row r="332" spans="2:12">
      <c r="B332" s="82" t="str">
        <f t="shared" si="8"/>
        <v>תקבולים ממשלתיים אחרים</v>
      </c>
      <c r="C332" s="87">
        <f t="shared" si="8"/>
        <v>5517</v>
      </c>
      <c r="D332" s="83">
        <f t="shared" si="8"/>
        <v>0</v>
      </c>
      <c r="E332" s="261">
        <f t="shared" si="8"/>
        <v>1379.25</v>
      </c>
      <c r="F332" s="83">
        <f t="shared" si="8"/>
        <v>0</v>
      </c>
      <c r="G332" s="87">
        <f t="shared" si="8"/>
        <v>392</v>
      </c>
      <c r="H332" s="83">
        <f t="shared" si="8"/>
        <v>0</v>
      </c>
      <c r="I332" s="261">
        <f t="shared" si="8"/>
        <v>-987.25</v>
      </c>
      <c r="J332" s="83">
        <f t="shared" si="8"/>
        <v>0</v>
      </c>
      <c r="K332" s="262">
        <f t="shared" si="8"/>
        <v>-0.71578756570599966</v>
      </c>
      <c r="L332" s="84">
        <f t="shared" si="8"/>
        <v>0</v>
      </c>
    </row>
    <row r="333" spans="2:12">
      <c r="B333" s="82" t="str">
        <f t="shared" ref="B333:L342" si="9">B21</f>
        <v>מענק כללי לאיזון</v>
      </c>
      <c r="C333" s="87">
        <f t="shared" si="9"/>
        <v>51182</v>
      </c>
      <c r="D333" s="83">
        <f t="shared" si="9"/>
        <v>0</v>
      </c>
      <c r="E333" s="261">
        <f t="shared" si="9"/>
        <v>12795.5</v>
      </c>
      <c r="F333" s="83">
        <f t="shared" si="9"/>
        <v>0</v>
      </c>
      <c r="G333" s="87">
        <f t="shared" si="9"/>
        <v>12796</v>
      </c>
      <c r="H333" s="83">
        <f t="shared" si="9"/>
        <v>0</v>
      </c>
      <c r="I333" s="261">
        <f t="shared" si="9"/>
        <v>0.5</v>
      </c>
      <c r="J333" s="83">
        <f t="shared" si="9"/>
        <v>0</v>
      </c>
      <c r="K333" s="262">
        <f t="shared" si="9"/>
        <v>3.9076237739830409E-5</v>
      </c>
      <c r="L333" s="84">
        <f t="shared" si="9"/>
        <v>0</v>
      </c>
    </row>
    <row r="334" spans="2:12">
      <c r="B334" s="82" t="str">
        <f t="shared" si="9"/>
        <v>מענקים מיועדים</v>
      </c>
      <c r="C334" s="87">
        <f t="shared" si="9"/>
        <v>16505</v>
      </c>
      <c r="D334" s="83">
        <f t="shared" si="9"/>
        <v>0</v>
      </c>
      <c r="E334" s="261">
        <f t="shared" si="9"/>
        <v>4126.25</v>
      </c>
      <c r="F334" s="83">
        <f t="shared" si="9"/>
        <v>0</v>
      </c>
      <c r="G334" s="87">
        <f t="shared" si="9"/>
        <v>3957</v>
      </c>
      <c r="H334" s="83">
        <f t="shared" si="9"/>
        <v>0</v>
      </c>
      <c r="I334" s="261">
        <f t="shared" si="9"/>
        <v>-169.25</v>
      </c>
      <c r="J334" s="83">
        <f t="shared" si="9"/>
        <v>0</v>
      </c>
      <c r="K334" s="262">
        <f t="shared" si="9"/>
        <v>-4.1017873371705545E-2</v>
      </c>
      <c r="L334" s="84">
        <f t="shared" si="9"/>
        <v>0</v>
      </c>
    </row>
    <row r="335" spans="2:12" ht="12" customHeight="1">
      <c r="B335" s="82" t="str">
        <f t="shared" si="9"/>
        <v>תקבולים אחרים</v>
      </c>
      <c r="C335" s="87">
        <f t="shared" si="9"/>
        <v>8027</v>
      </c>
      <c r="D335" s="83">
        <f t="shared" si="9"/>
        <v>0</v>
      </c>
      <c r="E335" s="261">
        <f t="shared" si="9"/>
        <v>2006.75</v>
      </c>
      <c r="F335" s="83">
        <f t="shared" si="9"/>
        <v>0</v>
      </c>
      <c r="G335" s="87">
        <f t="shared" si="9"/>
        <v>2597</v>
      </c>
      <c r="H335" s="83">
        <f t="shared" si="9"/>
        <v>0</v>
      </c>
      <c r="I335" s="261">
        <f t="shared" si="9"/>
        <v>590.25</v>
      </c>
      <c r="J335" s="83">
        <f t="shared" si="9"/>
        <v>0</v>
      </c>
      <c r="K335" s="262">
        <f t="shared" si="9"/>
        <v>0.2941323034757693</v>
      </c>
      <c r="L335" s="84"/>
    </row>
    <row r="336" spans="2:12" ht="2.25" hidden="1" customHeight="1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1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1">
        <f t="shared" si="9"/>
        <v>0</v>
      </c>
      <c r="J336" s="83">
        <f t="shared" si="9"/>
        <v>0</v>
      </c>
      <c r="K336" s="262">
        <f t="shared" si="9"/>
        <v>0</v>
      </c>
      <c r="L336" s="84">
        <f>L24</f>
        <v>0</v>
      </c>
    </row>
    <row r="337" spans="2:12" ht="24" customHeight="1">
      <c r="B337" s="274" t="str">
        <f t="shared" si="9"/>
        <v>סה"כ הכנסות לפני כיסוי גרעון מצטבר והנחות בארנונה</v>
      </c>
      <c r="C337" s="264">
        <f t="shared" si="9"/>
        <v>850435</v>
      </c>
      <c r="D337" s="83">
        <f t="shared" si="9"/>
        <v>0</v>
      </c>
      <c r="E337" s="265">
        <f t="shared" si="9"/>
        <v>212608.75</v>
      </c>
      <c r="F337" s="83">
        <f t="shared" si="9"/>
        <v>0</v>
      </c>
      <c r="G337" s="264">
        <f t="shared" si="9"/>
        <v>196542</v>
      </c>
      <c r="H337" s="83">
        <f t="shared" si="9"/>
        <v>0</v>
      </c>
      <c r="I337" s="265">
        <f t="shared" si="9"/>
        <v>-16066.75</v>
      </c>
      <c r="J337" s="83">
        <f t="shared" si="9"/>
        <v>0</v>
      </c>
      <c r="K337" s="266">
        <f t="shared" si="9"/>
        <v>-7.5569561459723558E-2</v>
      </c>
      <c r="L337" s="84"/>
    </row>
    <row r="338" spans="2:12" ht="6.75" customHeight="1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9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9">
        <f t="shared" si="9"/>
        <v>0</v>
      </c>
      <c r="J338" s="83">
        <f t="shared" si="9"/>
        <v>0</v>
      </c>
      <c r="K338" s="260">
        <f t="shared" si="9"/>
        <v>0</v>
      </c>
      <c r="L338" s="84"/>
    </row>
    <row r="339" spans="2:12" hidden="1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9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9">
        <f t="shared" si="9"/>
        <v>0</v>
      </c>
      <c r="J339" s="83">
        <f t="shared" si="9"/>
        <v>0</v>
      </c>
      <c r="K339" s="260">
        <f t="shared" si="9"/>
        <v>0</v>
      </c>
      <c r="L339" s="84"/>
    </row>
    <row r="340" spans="2:1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9">
        <f t="shared" si="9"/>
        <v>0</v>
      </c>
      <c r="F340" s="83">
        <f t="shared" si="9"/>
        <v>0</v>
      </c>
      <c r="G340" s="100">
        <f t="shared" si="9"/>
        <v>8200</v>
      </c>
      <c r="H340" s="83">
        <f t="shared" si="9"/>
        <v>0</v>
      </c>
      <c r="I340" s="529">
        <f t="shared" si="9"/>
        <v>8200</v>
      </c>
      <c r="J340" s="83">
        <f t="shared" si="9"/>
        <v>0</v>
      </c>
      <c r="K340" s="530">
        <f t="shared" si="9"/>
        <v>0</v>
      </c>
      <c r="L340" s="84"/>
    </row>
    <row r="341" spans="2:12">
      <c r="B341" s="82" t="str">
        <f t="shared" si="9"/>
        <v>הנחות בארנונה (הכנסות)</v>
      </c>
      <c r="C341" s="87">
        <f t="shared" si="9"/>
        <v>74520</v>
      </c>
      <c r="D341" s="83">
        <f t="shared" si="9"/>
        <v>0</v>
      </c>
      <c r="E341" s="261">
        <f t="shared" si="9"/>
        <v>18630</v>
      </c>
      <c r="F341" s="83">
        <f t="shared" si="9"/>
        <v>0</v>
      </c>
      <c r="G341" s="87">
        <f t="shared" si="9"/>
        <v>36382</v>
      </c>
      <c r="H341" s="83">
        <f t="shared" si="9"/>
        <v>0</v>
      </c>
      <c r="I341" s="261">
        <f t="shared" si="9"/>
        <v>17752</v>
      </c>
      <c r="J341" s="83">
        <f t="shared" si="9"/>
        <v>0</v>
      </c>
      <c r="K341" s="262">
        <f t="shared" si="9"/>
        <v>0.95287171229200218</v>
      </c>
      <c r="L341" s="84"/>
    </row>
    <row r="342" spans="2:12" ht="12.75" customHeight="1" thickBot="1">
      <c r="B342" s="82" t="str">
        <f t="shared" si="9"/>
        <v>סה"כ הכנסות</v>
      </c>
      <c r="C342" s="88">
        <f t="shared" si="9"/>
        <v>924955</v>
      </c>
      <c r="D342" s="83">
        <f t="shared" si="9"/>
        <v>0</v>
      </c>
      <c r="E342" s="88">
        <f t="shared" si="9"/>
        <v>231238.75</v>
      </c>
      <c r="F342" s="83">
        <f t="shared" si="9"/>
        <v>0</v>
      </c>
      <c r="G342" s="88">
        <f t="shared" si="9"/>
        <v>241124</v>
      </c>
      <c r="H342" s="83">
        <f t="shared" si="9"/>
        <v>0</v>
      </c>
      <c r="I342" s="88">
        <f t="shared" si="9"/>
        <v>9885.25</v>
      </c>
      <c r="J342" s="83">
        <f t="shared" si="9"/>
        <v>0</v>
      </c>
      <c r="K342" s="467">
        <f t="shared" si="9"/>
        <v>4.2749106713299567E-2</v>
      </c>
      <c r="L342" s="84">
        <f t="shared" si="9"/>
        <v>0</v>
      </c>
    </row>
    <row r="343" spans="2:12" ht="12" customHeight="1" thickTop="1">
      <c r="B343" s="82"/>
      <c r="C343" s="275"/>
      <c r="D343" s="83"/>
      <c r="E343" s="275"/>
      <c r="F343" s="83"/>
      <c r="G343" s="275"/>
      <c r="H343" s="83"/>
      <c r="I343" s="275"/>
      <c r="J343" s="83"/>
      <c r="K343" s="534"/>
      <c r="L343" s="84"/>
    </row>
    <row r="344" spans="2:12" ht="16.5" customHeight="1">
      <c r="B344" s="533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>
      <c r="B345" s="533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>
      <c r="B346" s="82" t="str">
        <f t="shared" ref="B346:L346" si="11">B32</f>
        <v>הוצאות שכר כללי</v>
      </c>
      <c r="C346" s="86">
        <f t="shared" si="11"/>
        <v>243960</v>
      </c>
      <c r="D346" s="83">
        <f t="shared" si="11"/>
        <v>0</v>
      </c>
      <c r="E346" s="259">
        <f t="shared" si="11"/>
        <v>60990</v>
      </c>
      <c r="F346" s="83">
        <f t="shared" si="11"/>
        <v>0</v>
      </c>
      <c r="G346" s="86">
        <f t="shared" si="11"/>
        <v>58326</v>
      </c>
      <c r="H346" s="83">
        <f t="shared" si="11"/>
        <v>0</v>
      </c>
      <c r="I346" s="259">
        <f t="shared" si="11"/>
        <v>-2664</v>
      </c>
      <c r="J346" s="83">
        <f t="shared" si="11"/>
        <v>0</v>
      </c>
      <c r="K346" s="260">
        <f t="shared" si="11"/>
        <v>-4.3679291687161829E-2</v>
      </c>
      <c r="L346" s="84">
        <f t="shared" si="11"/>
        <v>0</v>
      </c>
    </row>
    <row r="347" spans="2:12">
      <c r="B347" s="82" t="str">
        <f t="shared" ref="B347:L347" si="12">B33</f>
        <v>פעולות כלליות</v>
      </c>
      <c r="C347" s="87">
        <f t="shared" si="12"/>
        <v>155104</v>
      </c>
      <c r="D347" s="83">
        <f t="shared" si="12"/>
        <v>0</v>
      </c>
      <c r="E347" s="261">
        <f t="shared" si="12"/>
        <v>38776</v>
      </c>
      <c r="F347" s="83">
        <f t="shared" si="12"/>
        <v>0</v>
      </c>
      <c r="G347" s="87">
        <f t="shared" si="12"/>
        <v>31891</v>
      </c>
      <c r="H347" s="83">
        <f t="shared" si="12"/>
        <v>0</v>
      </c>
      <c r="I347" s="261">
        <f t="shared" si="12"/>
        <v>-6885</v>
      </c>
      <c r="J347" s="83">
        <f t="shared" si="12"/>
        <v>0</v>
      </c>
      <c r="K347" s="262">
        <f t="shared" si="12"/>
        <v>-0.17755828347431402</v>
      </c>
      <c r="L347" s="84">
        <f t="shared" si="12"/>
        <v>0</v>
      </c>
    </row>
    <row r="348" spans="2:1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1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1">
        <f t="shared" si="13"/>
        <v>0</v>
      </c>
      <c r="J348" s="83">
        <f t="shared" si="13"/>
        <v>0</v>
      </c>
      <c r="K348" s="262">
        <f t="shared" si="13"/>
        <v>0</v>
      </c>
      <c r="L348" s="84">
        <f t="shared" si="13"/>
        <v>0</v>
      </c>
    </row>
    <row r="349" spans="2:12">
      <c r="B349" s="82" t="str">
        <f t="shared" ref="B349:L349" si="14">B35</f>
        <v>סה"כ כלליות</v>
      </c>
      <c r="C349" s="88">
        <f t="shared" si="14"/>
        <v>399064</v>
      </c>
      <c r="D349" s="83">
        <f t="shared" si="14"/>
        <v>0</v>
      </c>
      <c r="E349" s="88">
        <f t="shared" si="14"/>
        <v>99766</v>
      </c>
      <c r="F349" s="83">
        <f t="shared" si="14"/>
        <v>0</v>
      </c>
      <c r="G349" s="88">
        <f t="shared" si="14"/>
        <v>90217</v>
      </c>
      <c r="H349" s="83">
        <f t="shared" si="14"/>
        <v>0</v>
      </c>
      <c r="I349" s="88">
        <f t="shared" si="14"/>
        <v>-9549</v>
      </c>
      <c r="J349" s="83">
        <f t="shared" si="14"/>
        <v>0</v>
      </c>
      <c r="K349" s="268">
        <f t="shared" si="14"/>
        <v>-9.5713970691417918E-2</v>
      </c>
      <c r="L349" s="84">
        <f t="shared" si="14"/>
        <v>0</v>
      </c>
    </row>
    <row r="350" spans="2:1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>
      <c r="B351" s="82" t="str">
        <f t="shared" ref="B351:L366" si="16">B37</f>
        <v>שכר עובדי חינוך</v>
      </c>
      <c r="C351" s="86">
        <f t="shared" si="16"/>
        <v>163339</v>
      </c>
      <c r="D351" s="83">
        <f t="shared" si="16"/>
        <v>0</v>
      </c>
      <c r="E351" s="259">
        <f t="shared" si="16"/>
        <v>40834.75</v>
      </c>
      <c r="F351" s="83">
        <f t="shared" si="16"/>
        <v>0</v>
      </c>
      <c r="G351" s="86">
        <f t="shared" si="16"/>
        <v>39641</v>
      </c>
      <c r="H351" s="83">
        <f t="shared" si="16"/>
        <v>0</v>
      </c>
      <c r="I351" s="259">
        <f t="shared" si="16"/>
        <v>-1193.75</v>
      </c>
      <c r="J351" s="83">
        <f t="shared" si="16"/>
        <v>0</v>
      </c>
      <c r="K351" s="260">
        <f t="shared" si="16"/>
        <v>-2.9233679647848954E-2</v>
      </c>
      <c r="L351" s="84">
        <f t="shared" si="16"/>
        <v>0</v>
      </c>
    </row>
    <row r="352" spans="2:12">
      <c r="B352" s="82" t="str">
        <f t="shared" si="16"/>
        <v>פעולות חינוך</v>
      </c>
      <c r="C352" s="87">
        <f t="shared" si="16"/>
        <v>104520</v>
      </c>
      <c r="D352" s="83">
        <f t="shared" si="16"/>
        <v>0</v>
      </c>
      <c r="E352" s="261">
        <f t="shared" si="16"/>
        <v>26130</v>
      </c>
      <c r="F352" s="83">
        <f t="shared" si="16"/>
        <v>0</v>
      </c>
      <c r="G352" s="87">
        <f t="shared" si="16"/>
        <v>23351</v>
      </c>
      <c r="H352" s="83">
        <f t="shared" si="16"/>
        <v>0</v>
      </c>
      <c r="I352" s="261">
        <f t="shared" si="16"/>
        <v>-2779</v>
      </c>
      <c r="J352" s="83">
        <f t="shared" si="16"/>
        <v>0</v>
      </c>
      <c r="K352" s="262">
        <f t="shared" si="16"/>
        <v>-0.10635285112897053</v>
      </c>
      <c r="L352" s="84">
        <f t="shared" si="16"/>
        <v>0</v>
      </c>
    </row>
    <row r="353" spans="2:12">
      <c r="B353" s="82" t="str">
        <f t="shared" si="16"/>
        <v>סה"כ חינוך</v>
      </c>
      <c r="C353" s="88">
        <f t="shared" si="16"/>
        <v>267859</v>
      </c>
      <c r="D353" s="83">
        <f t="shared" si="16"/>
        <v>0</v>
      </c>
      <c r="E353" s="88">
        <f t="shared" si="16"/>
        <v>66964.75</v>
      </c>
      <c r="F353" s="83">
        <f t="shared" si="16"/>
        <v>0</v>
      </c>
      <c r="G353" s="88">
        <f t="shared" si="16"/>
        <v>62992</v>
      </c>
      <c r="H353" s="83">
        <f t="shared" si="16"/>
        <v>0</v>
      </c>
      <c r="I353" s="88">
        <f t="shared" si="16"/>
        <v>-3972.75</v>
      </c>
      <c r="J353" s="83">
        <f t="shared" si="16"/>
        <v>0</v>
      </c>
      <c r="K353" s="269">
        <f t="shared" si="16"/>
        <v>-5.9325988673145202E-2</v>
      </c>
      <c r="L353" s="84">
        <f t="shared" si="16"/>
        <v>0</v>
      </c>
    </row>
    <row r="354" spans="2:12">
      <c r="B354" s="82" t="str">
        <f t="shared" si="16"/>
        <v>שכר עובדי רווחה</v>
      </c>
      <c r="C354" s="86">
        <f t="shared" si="16"/>
        <v>28469</v>
      </c>
      <c r="D354" s="83">
        <f t="shared" si="16"/>
        <v>0</v>
      </c>
      <c r="E354" s="259">
        <f t="shared" si="16"/>
        <v>7117.25</v>
      </c>
      <c r="F354" s="83">
        <f t="shared" si="16"/>
        <v>0</v>
      </c>
      <c r="G354" s="86">
        <f t="shared" si="16"/>
        <v>6533</v>
      </c>
      <c r="H354" s="83">
        <f t="shared" si="16"/>
        <v>0</v>
      </c>
      <c r="I354" s="259">
        <f t="shared" si="16"/>
        <v>-584.25</v>
      </c>
      <c r="J354" s="83">
        <f t="shared" si="16"/>
        <v>0</v>
      </c>
      <c r="K354" s="262">
        <f t="shared" si="16"/>
        <v>-8.2089290105026524E-2</v>
      </c>
      <c r="L354" s="84">
        <f t="shared" si="16"/>
        <v>0</v>
      </c>
    </row>
    <row r="355" spans="2:12">
      <c r="B355" s="82" t="str">
        <f t="shared" si="16"/>
        <v>פעולות רווחה</v>
      </c>
      <c r="C355" s="87">
        <f t="shared" si="16"/>
        <v>145403</v>
      </c>
      <c r="D355" s="83">
        <f t="shared" si="16"/>
        <v>0</v>
      </c>
      <c r="E355" s="261">
        <f t="shared" si="16"/>
        <v>36350.75</v>
      </c>
      <c r="F355" s="83">
        <f t="shared" si="16"/>
        <v>0</v>
      </c>
      <c r="G355" s="87">
        <f t="shared" si="16"/>
        <v>34926</v>
      </c>
      <c r="H355" s="83">
        <f t="shared" si="16"/>
        <v>0</v>
      </c>
      <c r="I355" s="261">
        <f t="shared" si="16"/>
        <v>-1424.75</v>
      </c>
      <c r="J355" s="83">
        <f t="shared" si="16"/>
        <v>0</v>
      </c>
      <c r="K355" s="262">
        <f t="shared" si="16"/>
        <v>-3.9194514556095815E-2</v>
      </c>
      <c r="L355" s="84">
        <f t="shared" si="16"/>
        <v>0</v>
      </c>
    </row>
    <row r="356" spans="2:12">
      <c r="B356" s="82" t="str">
        <f t="shared" si="16"/>
        <v>סה"כ רווחה</v>
      </c>
      <c r="C356" s="270">
        <f t="shared" si="16"/>
        <v>173872</v>
      </c>
      <c r="D356" s="83">
        <f t="shared" si="16"/>
        <v>0</v>
      </c>
      <c r="E356" s="270">
        <f t="shared" si="16"/>
        <v>43468</v>
      </c>
      <c r="F356" s="83">
        <f t="shared" si="16"/>
        <v>0</v>
      </c>
      <c r="G356" s="270">
        <f t="shared" si="16"/>
        <v>41459</v>
      </c>
      <c r="H356" s="83">
        <f t="shared" si="16"/>
        <v>0</v>
      </c>
      <c r="I356" s="270">
        <f t="shared" si="16"/>
        <v>-2009</v>
      </c>
      <c r="J356" s="83">
        <f t="shared" si="16"/>
        <v>0</v>
      </c>
      <c r="K356" s="271">
        <f t="shared" si="16"/>
        <v>-4.6217907426152574E-2</v>
      </c>
      <c r="L356" s="84">
        <f t="shared" si="16"/>
        <v>0</v>
      </c>
    </row>
    <row r="357" spans="2:12" ht="4.5" customHeight="1">
      <c r="B357" s="82">
        <f t="shared" si="16"/>
        <v>0</v>
      </c>
      <c r="C357" s="272">
        <f t="shared" si="16"/>
        <v>0</v>
      </c>
      <c r="D357" s="83">
        <f t="shared" si="16"/>
        <v>0</v>
      </c>
      <c r="E357" s="272">
        <f t="shared" si="16"/>
        <v>0</v>
      </c>
      <c r="F357" s="83">
        <f t="shared" si="16"/>
        <v>0</v>
      </c>
      <c r="G357" s="272">
        <f t="shared" si="16"/>
        <v>0</v>
      </c>
      <c r="H357" s="83">
        <f t="shared" si="16"/>
        <v>0</v>
      </c>
      <c r="I357" s="272">
        <f t="shared" si="16"/>
        <v>0</v>
      </c>
      <c r="J357" s="83">
        <f t="shared" si="16"/>
        <v>0</v>
      </c>
      <c r="K357" s="273">
        <f t="shared" si="16"/>
        <v>0</v>
      </c>
      <c r="L357" s="84"/>
    </row>
    <row r="358" spans="2:12" ht="23.25" customHeight="1">
      <c r="B358" s="274" t="str">
        <f t="shared" si="16"/>
        <v>סה"כ הוצאות לפני פרעון מלוות, מימון, כיסוי גרעון מצטבר והנחות בארנונה</v>
      </c>
      <c r="C358" s="88">
        <f t="shared" si="16"/>
        <v>840795</v>
      </c>
      <c r="D358" s="83">
        <f t="shared" si="16"/>
        <v>0</v>
      </c>
      <c r="E358" s="88">
        <f t="shared" si="16"/>
        <v>210198.75</v>
      </c>
      <c r="F358" s="83">
        <f t="shared" si="16"/>
        <v>0</v>
      </c>
      <c r="G358" s="88">
        <f t="shared" si="16"/>
        <v>194668</v>
      </c>
      <c r="H358" s="83">
        <f t="shared" si="16"/>
        <v>0</v>
      </c>
      <c r="I358" s="88">
        <f t="shared" si="16"/>
        <v>-15530.75</v>
      </c>
      <c r="J358" s="83">
        <f t="shared" si="16"/>
        <v>0</v>
      </c>
      <c r="K358" s="269">
        <f t="shared" si="16"/>
        <v>-7.3886024536301956E-2</v>
      </c>
      <c r="L358" s="84"/>
    </row>
    <row r="359" spans="2:12">
      <c r="B359" s="82" t="str">
        <f t="shared" si="16"/>
        <v>פרעון מלוות מים וביוב</v>
      </c>
      <c r="C359" s="86">
        <f t="shared" si="16"/>
        <v>880</v>
      </c>
      <c r="D359" s="83">
        <f t="shared" si="16"/>
        <v>0</v>
      </c>
      <c r="E359" s="259">
        <f t="shared" si="16"/>
        <v>220</v>
      </c>
      <c r="F359" s="83">
        <f t="shared" si="16"/>
        <v>0</v>
      </c>
      <c r="G359" s="86">
        <f t="shared" si="16"/>
        <v>223</v>
      </c>
      <c r="H359" s="83">
        <f t="shared" si="16"/>
        <v>0</v>
      </c>
      <c r="I359" s="259">
        <f t="shared" si="16"/>
        <v>3</v>
      </c>
      <c r="J359" s="83">
        <f t="shared" si="16"/>
        <v>0</v>
      </c>
      <c r="K359" s="260">
        <f t="shared" si="16"/>
        <v>1.3636363636363636E-2</v>
      </c>
      <c r="L359" s="84">
        <f>L45</f>
        <v>0</v>
      </c>
    </row>
    <row r="360" spans="2:12">
      <c r="B360" s="82" t="str">
        <f t="shared" si="16"/>
        <v>פרעון מלוות אחרות</v>
      </c>
      <c r="C360" s="87">
        <f t="shared" si="16"/>
        <v>24421</v>
      </c>
      <c r="D360" s="83">
        <f t="shared" si="16"/>
        <v>0</v>
      </c>
      <c r="E360" s="261">
        <f t="shared" si="16"/>
        <v>6105.25</v>
      </c>
      <c r="F360" s="83">
        <f t="shared" si="16"/>
        <v>0</v>
      </c>
      <c r="G360" s="87">
        <f t="shared" si="16"/>
        <v>5623</v>
      </c>
      <c r="H360" s="83">
        <f t="shared" si="16"/>
        <v>0</v>
      </c>
      <c r="I360" s="261">
        <f t="shared" si="16"/>
        <v>-482.25</v>
      </c>
      <c r="J360" s="83">
        <f t="shared" si="16"/>
        <v>0</v>
      </c>
      <c r="K360" s="262">
        <f t="shared" si="16"/>
        <v>-7.8989394373694774E-2</v>
      </c>
      <c r="L360" s="84">
        <f>L46</f>
        <v>0</v>
      </c>
    </row>
    <row r="361" spans="2:12">
      <c r="B361" s="82" t="str">
        <f t="shared" si="16"/>
        <v>סה"כ פרעון מלוות</v>
      </c>
      <c r="C361" s="88">
        <f t="shared" si="16"/>
        <v>25301</v>
      </c>
      <c r="D361" s="83">
        <f t="shared" si="16"/>
        <v>0</v>
      </c>
      <c r="E361" s="88">
        <f t="shared" si="16"/>
        <v>6325.25</v>
      </c>
      <c r="F361" s="83">
        <f t="shared" si="16"/>
        <v>0</v>
      </c>
      <c r="G361" s="88">
        <f t="shared" si="16"/>
        <v>5846</v>
      </c>
      <c r="H361" s="83">
        <f t="shared" si="16"/>
        <v>0</v>
      </c>
      <c r="I361" s="88">
        <f t="shared" si="16"/>
        <v>-479.25</v>
      </c>
      <c r="J361" s="83">
        <f t="shared" si="16"/>
        <v>0</v>
      </c>
      <c r="K361" s="269">
        <f t="shared" si="16"/>
        <v>-7.576775621516936E-2</v>
      </c>
      <c r="L361" s="84">
        <f>L47</f>
        <v>0</v>
      </c>
    </row>
    <row r="362" spans="2:12" ht="4.5" customHeight="1">
      <c r="B362" s="82">
        <f t="shared" si="16"/>
        <v>0</v>
      </c>
      <c r="C362" s="275">
        <f t="shared" si="16"/>
        <v>0</v>
      </c>
      <c r="D362" s="83">
        <f t="shared" si="16"/>
        <v>0</v>
      </c>
      <c r="E362" s="275">
        <f t="shared" si="16"/>
        <v>0</v>
      </c>
      <c r="F362" s="83">
        <f t="shared" si="16"/>
        <v>0</v>
      </c>
      <c r="G362" s="275">
        <f t="shared" si="16"/>
        <v>0</v>
      </c>
      <c r="H362" s="83">
        <f t="shared" si="16"/>
        <v>0</v>
      </c>
      <c r="I362" s="275">
        <f t="shared" si="16"/>
        <v>0</v>
      </c>
      <c r="J362" s="83">
        <f t="shared" si="16"/>
        <v>0</v>
      </c>
      <c r="K362" s="276">
        <f t="shared" si="16"/>
        <v>0</v>
      </c>
      <c r="L362" s="84"/>
    </row>
    <row r="363" spans="2:12">
      <c r="B363" s="82" t="str">
        <f t="shared" si="16"/>
        <v>הוצאות מימון</v>
      </c>
      <c r="C363" s="86">
        <f t="shared" si="16"/>
        <v>2899</v>
      </c>
      <c r="D363" s="83">
        <f t="shared" si="16"/>
        <v>0</v>
      </c>
      <c r="E363" s="259">
        <f t="shared" si="16"/>
        <v>724.75</v>
      </c>
      <c r="F363" s="83">
        <f t="shared" si="16"/>
        <v>0</v>
      </c>
      <c r="G363" s="86">
        <f t="shared" si="16"/>
        <v>1012</v>
      </c>
      <c r="H363" s="83">
        <f t="shared" si="16"/>
        <v>0</v>
      </c>
      <c r="I363" s="259">
        <f t="shared" si="16"/>
        <v>287.25</v>
      </c>
      <c r="J363" s="83">
        <f t="shared" si="16"/>
        <v>0</v>
      </c>
      <c r="K363" s="260">
        <f t="shared" si="16"/>
        <v>0.39634356674715421</v>
      </c>
      <c r="L363" s="84">
        <f>L49</f>
        <v>0</v>
      </c>
    </row>
    <row r="364" spans="2:12">
      <c r="B364" s="277" t="str">
        <f t="shared" si="16"/>
        <v>העברות והוצאות חד פעמיות</v>
      </c>
      <c r="C364" s="87">
        <f t="shared" si="16"/>
        <v>960</v>
      </c>
      <c r="D364" s="83">
        <f t="shared" si="16"/>
        <v>0</v>
      </c>
      <c r="E364" s="261">
        <f t="shared" si="16"/>
        <v>240</v>
      </c>
      <c r="F364" s="83">
        <f t="shared" si="16"/>
        <v>0</v>
      </c>
      <c r="G364" s="87">
        <f t="shared" si="16"/>
        <v>125</v>
      </c>
      <c r="H364" s="83">
        <f t="shared" si="16"/>
        <v>0</v>
      </c>
      <c r="I364" s="261">
        <f t="shared" si="16"/>
        <v>-115</v>
      </c>
      <c r="J364" s="83">
        <f t="shared" si="16"/>
        <v>0</v>
      </c>
      <c r="K364" s="262">
        <f t="shared" si="16"/>
        <v>-0.47916666666666669</v>
      </c>
      <c r="L364" s="84">
        <f>L50</f>
        <v>0</v>
      </c>
    </row>
    <row r="365" spans="2:12" ht="26.25" customHeight="1">
      <c r="B365" s="277" t="str">
        <f t="shared" si="16"/>
        <v>סה"כ הוצאות לפני כיסוי גרעון מצטבר והנחות בארנונה</v>
      </c>
      <c r="C365" s="264">
        <f t="shared" si="16"/>
        <v>869955</v>
      </c>
      <c r="D365" s="83">
        <f t="shared" si="16"/>
        <v>0</v>
      </c>
      <c r="E365" s="265">
        <f t="shared" si="16"/>
        <v>217488.75</v>
      </c>
      <c r="F365" s="83">
        <f t="shared" si="16"/>
        <v>0</v>
      </c>
      <c r="G365" s="264">
        <f t="shared" si="16"/>
        <v>201651</v>
      </c>
      <c r="H365" s="83">
        <f t="shared" si="16"/>
        <v>0</v>
      </c>
      <c r="I365" s="265">
        <f t="shared" si="16"/>
        <v>-15837.75</v>
      </c>
      <c r="J365" s="83">
        <f t="shared" si="16"/>
        <v>0</v>
      </c>
      <c r="K365" s="266">
        <f t="shared" si="16"/>
        <v>-7.2821007983171537E-2</v>
      </c>
      <c r="L365" s="84"/>
    </row>
    <row r="366" spans="2:12" ht="4.5" customHeight="1">
      <c r="B366" s="277">
        <f t="shared" si="16"/>
        <v>0</v>
      </c>
      <c r="C366" s="86">
        <f t="shared" si="16"/>
        <v>0</v>
      </c>
      <c r="D366" s="83">
        <f t="shared" si="16"/>
        <v>0</v>
      </c>
      <c r="E366" s="259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9">
        <f t="shared" si="16"/>
        <v>0</v>
      </c>
      <c r="J366" s="83">
        <f t="shared" si="16"/>
        <v>0</v>
      </c>
      <c r="K366" s="260">
        <f t="shared" si="16"/>
        <v>0</v>
      </c>
      <c r="L366" s="84"/>
    </row>
    <row r="367" spans="2:12">
      <c r="B367" s="277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1">
        <f t="shared" si="17"/>
        <v>0</v>
      </c>
      <c r="F367" s="83">
        <f t="shared" si="17"/>
        <v>0</v>
      </c>
      <c r="G367" s="87">
        <f t="shared" si="17"/>
        <v>8200</v>
      </c>
      <c r="H367" s="83">
        <f t="shared" si="17"/>
        <v>0</v>
      </c>
      <c r="I367" s="261">
        <f t="shared" si="17"/>
        <v>8200</v>
      </c>
      <c r="J367" s="83">
        <f t="shared" si="17"/>
        <v>0</v>
      </c>
      <c r="K367" s="262">
        <f t="shared" si="17"/>
        <v>0</v>
      </c>
      <c r="L367" s="84"/>
    </row>
    <row r="368" spans="2:12">
      <c r="B368" s="277" t="str">
        <f t="shared" si="17"/>
        <v>הנחות בארנונה (הוצאות)</v>
      </c>
      <c r="C368" s="87">
        <f t="shared" si="17"/>
        <v>74000</v>
      </c>
      <c r="D368" s="83">
        <f t="shared" si="17"/>
        <v>0</v>
      </c>
      <c r="E368" s="261">
        <f t="shared" si="17"/>
        <v>18500</v>
      </c>
      <c r="F368" s="83">
        <f t="shared" si="17"/>
        <v>0</v>
      </c>
      <c r="G368" s="87">
        <f t="shared" si="17"/>
        <v>35902</v>
      </c>
      <c r="H368" s="83">
        <f t="shared" si="17"/>
        <v>0</v>
      </c>
      <c r="I368" s="261">
        <f t="shared" si="17"/>
        <v>17402</v>
      </c>
      <c r="J368" s="83">
        <f t="shared" si="17"/>
        <v>0</v>
      </c>
      <c r="K368" s="262">
        <f t="shared" si="17"/>
        <v>0.94064864864864861</v>
      </c>
      <c r="L368" s="84"/>
    </row>
    <row r="369" spans="2:12" ht="13.5" thickBot="1">
      <c r="B369" s="82" t="str">
        <f t="shared" si="17"/>
        <v>סה"כ הוצאות</v>
      </c>
      <c r="C369" s="88">
        <f t="shared" si="17"/>
        <v>943955</v>
      </c>
      <c r="D369" s="83">
        <f t="shared" si="17"/>
        <v>0</v>
      </c>
      <c r="E369" s="88">
        <f t="shared" si="17"/>
        <v>235988.75</v>
      </c>
      <c r="F369" s="83">
        <f t="shared" si="17"/>
        <v>0</v>
      </c>
      <c r="G369" s="88">
        <f t="shared" si="17"/>
        <v>245753</v>
      </c>
      <c r="H369" s="83">
        <f t="shared" si="17"/>
        <v>0</v>
      </c>
      <c r="I369" s="88">
        <f t="shared" si="17"/>
        <v>9764.25</v>
      </c>
      <c r="J369" s="83">
        <f t="shared" si="17"/>
        <v>0</v>
      </c>
      <c r="K369" s="267">
        <f t="shared" si="17"/>
        <v>4.1375913046702441E-2</v>
      </c>
      <c r="L369" s="84">
        <f>L55</f>
        <v>0</v>
      </c>
    </row>
    <row r="370" spans="2:12" ht="13.5" thickTop="1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>
      <c r="B371" s="82" t="str">
        <f t="shared" si="17"/>
        <v>עודף (גרעון)</v>
      </c>
      <c r="C371" s="95">
        <f t="shared" si="17"/>
        <v>-19000</v>
      </c>
      <c r="D371" s="83">
        <f t="shared" si="17"/>
        <v>0</v>
      </c>
      <c r="E371" s="95">
        <f t="shared" si="17"/>
        <v>-4750</v>
      </c>
      <c r="F371" s="83">
        <f t="shared" si="17"/>
        <v>0</v>
      </c>
      <c r="G371" s="95">
        <f t="shared" si="17"/>
        <v>-4629</v>
      </c>
      <c r="H371" s="83">
        <f t="shared" si="17"/>
        <v>0</v>
      </c>
      <c r="I371" s="95">
        <f t="shared" si="17"/>
        <v>121</v>
      </c>
      <c r="J371" s="83">
        <f t="shared" si="17"/>
        <v>0</v>
      </c>
      <c r="K371" s="267">
        <f t="shared" si="17"/>
        <v>-2.5473684210526315E-2</v>
      </c>
      <c r="L371" s="84">
        <f>L57</f>
        <v>0</v>
      </c>
    </row>
    <row r="372" spans="2:12" ht="13.5" thickTop="1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>
      <c r="B373" s="528" t="s">
        <v>850</v>
      </c>
      <c r="C373" s="42" t="str">
        <f>IF(Ishur&lt;&gt;"",Ishur,"יש למלא את הגורם המאשר את תקציב הרשות בגליון הגדרות כלליות")</f>
        <v>משרד הפנים</v>
      </c>
    </row>
    <row r="374" spans="2:12" ht="8.25" customHeight="1">
      <c r="B374" s="58"/>
    </row>
    <row r="375" spans="2:12">
      <c r="B375" s="161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73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>
      <c r="A1" s="41"/>
      <c r="B1" s="41"/>
      <c r="C1" s="634" t="str">
        <f>GufMevukar</f>
        <v>עיריית בת-ים</v>
      </c>
      <c r="D1" s="627"/>
      <c r="E1" s="627"/>
      <c r="F1" s="627"/>
      <c r="G1" s="627"/>
      <c r="H1" s="628"/>
    </row>
    <row r="2" spans="1:8" ht="15.75" customHeight="1" thickTop="1" thickBot="1">
      <c r="A2" s="41"/>
      <c r="B2" s="41"/>
      <c r="C2" s="634" t="s">
        <v>827</v>
      </c>
      <c r="D2" s="627"/>
      <c r="E2" s="627"/>
      <c r="F2" s="627"/>
      <c r="G2" s="627"/>
      <c r="H2" s="628"/>
    </row>
    <row r="3" spans="1:8" ht="19.5" thickTop="1" thickBot="1">
      <c r="A3" s="41"/>
      <c r="B3" s="41"/>
      <c r="C3" s="626" t="str">
        <f>ReportPeriod</f>
        <v>לתקופה: רבעון 1, שנת 2021</v>
      </c>
      <c r="D3" s="627"/>
      <c r="E3" s="627"/>
      <c r="F3" s="627"/>
      <c r="G3" s="627"/>
      <c r="H3" s="628"/>
    </row>
    <row r="4" spans="1:8" ht="13.5" thickTop="1">
      <c r="A4" s="59" t="s">
        <v>584</v>
      </c>
      <c r="B4" s="43"/>
      <c r="C4" s="43"/>
      <c r="D4" s="43"/>
      <c r="E4" s="43"/>
      <c r="F4" s="43"/>
      <c r="G4" s="43"/>
      <c r="H4" s="44"/>
    </row>
    <row r="5" spans="1:8">
      <c r="A5" s="43"/>
      <c r="B5" s="43"/>
      <c r="C5" s="43"/>
      <c r="D5" s="43"/>
      <c r="E5" s="43"/>
      <c r="F5" s="43"/>
      <c r="G5" s="43"/>
      <c r="H5" s="44"/>
    </row>
    <row r="6" spans="1:8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>
      <c r="A7" s="43"/>
      <c r="B7" s="46"/>
      <c r="C7" s="47"/>
      <c r="D7" s="47"/>
      <c r="E7" s="47"/>
      <c r="F7" s="47"/>
      <c r="G7" s="61"/>
      <c r="H7" s="44"/>
    </row>
    <row r="8" spans="1:8" ht="15.75">
      <c r="A8" s="43"/>
      <c r="B8" s="62" t="s">
        <v>828</v>
      </c>
      <c r="C8" s="47"/>
      <c r="D8" s="47"/>
      <c r="E8" s="47"/>
      <c r="F8" s="47"/>
      <c r="G8" s="61"/>
      <c r="H8" s="44"/>
    </row>
    <row r="9" spans="1:8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>
      <c r="A10" s="43"/>
      <c r="B10" s="46" t="s">
        <v>830</v>
      </c>
      <c r="C10" s="47"/>
      <c r="D10" s="50"/>
      <c r="E10" s="47"/>
      <c r="F10" s="118">
        <v>1200</v>
      </c>
      <c r="G10" s="61"/>
      <c r="H10" s="44"/>
    </row>
    <row r="11" spans="1:8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>
      <c r="A12" s="43"/>
      <c r="B12" s="46" t="s">
        <v>832</v>
      </c>
      <c r="C12" s="47"/>
      <c r="D12" s="50">
        <v>1098</v>
      </c>
      <c r="E12" s="47"/>
      <c r="F12" s="118">
        <v>9339</v>
      </c>
      <c r="G12" s="61"/>
      <c r="H12" s="44"/>
    </row>
    <row r="13" spans="1:8">
      <c r="A13" s="43"/>
      <c r="B13" s="46" t="s">
        <v>833</v>
      </c>
      <c r="C13" s="47"/>
      <c r="D13" s="50"/>
      <c r="E13" s="47"/>
      <c r="F13" s="118">
        <v>75</v>
      </c>
      <c r="G13" s="61"/>
      <c r="H13" s="44"/>
    </row>
    <row r="14" spans="1:8">
      <c r="A14" s="43"/>
      <c r="B14" s="46" t="s">
        <v>834</v>
      </c>
      <c r="C14" s="47"/>
      <c r="D14" s="50">
        <v>254</v>
      </c>
      <c r="E14" s="47"/>
      <c r="F14" s="118">
        <v>4717</v>
      </c>
      <c r="G14" s="61"/>
      <c r="H14" s="44"/>
    </row>
    <row r="15" spans="1:8">
      <c r="A15" s="43"/>
      <c r="B15" s="46" t="s">
        <v>835</v>
      </c>
      <c r="C15" s="47"/>
      <c r="D15" s="50"/>
      <c r="E15" s="47"/>
      <c r="F15" s="118"/>
      <c r="G15" s="61"/>
      <c r="H15" s="44"/>
    </row>
    <row r="16" spans="1:8">
      <c r="A16" s="43"/>
      <c r="B16" s="46" t="s">
        <v>836</v>
      </c>
      <c r="C16" s="47"/>
      <c r="D16" s="50"/>
      <c r="E16" s="47"/>
      <c r="F16" s="118">
        <v>2800</v>
      </c>
      <c r="G16" s="61"/>
      <c r="H16" s="44"/>
    </row>
    <row r="17" spans="1:8">
      <c r="A17" s="43"/>
      <c r="B17" s="46" t="s">
        <v>837</v>
      </c>
      <c r="C17" s="47"/>
      <c r="D17" s="50"/>
      <c r="E17" s="47"/>
      <c r="F17" s="118">
        <v>79</v>
      </c>
      <c r="G17" s="61"/>
      <c r="H17" s="44"/>
    </row>
    <row r="18" spans="1:8">
      <c r="A18" s="43"/>
      <c r="B18" s="46" t="s">
        <v>838</v>
      </c>
      <c r="C18" s="47"/>
      <c r="D18" s="50">
        <v>25</v>
      </c>
      <c r="E18" s="47"/>
      <c r="F18" s="118">
        <v>1000</v>
      </c>
      <c r="G18" s="61"/>
      <c r="H18" s="44"/>
    </row>
    <row r="19" spans="1:8">
      <c r="A19" s="43"/>
      <c r="B19" s="46" t="s">
        <v>839</v>
      </c>
      <c r="C19" s="47"/>
      <c r="D19" s="50"/>
      <c r="E19" s="47"/>
      <c r="F19" s="118"/>
      <c r="G19" s="61"/>
      <c r="H19" s="44"/>
    </row>
    <row r="20" spans="1:8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>
      <c r="A21" s="43"/>
      <c r="B21" s="46" t="s">
        <v>841</v>
      </c>
      <c r="C21" s="47"/>
      <c r="D21" s="50">
        <v>40</v>
      </c>
      <c r="E21" s="47"/>
      <c r="F21" s="118">
        <v>3738</v>
      </c>
      <c r="G21" s="61"/>
      <c r="H21" s="44"/>
    </row>
    <row r="22" spans="1:8">
      <c r="A22" s="43"/>
      <c r="B22" s="46" t="s">
        <v>842</v>
      </c>
      <c r="C22" s="47"/>
      <c r="D22" s="50">
        <v>905</v>
      </c>
      <c r="E22" s="47"/>
      <c r="F22" s="118">
        <v>1845</v>
      </c>
      <c r="G22" s="61"/>
      <c r="H22" s="44"/>
    </row>
    <row r="23" spans="1:8">
      <c r="A23" s="43"/>
      <c r="B23" s="46" t="s">
        <v>843</v>
      </c>
      <c r="C23" s="47"/>
      <c r="D23" s="51">
        <f>SUM(D12:D22)</f>
        <v>2322</v>
      </c>
      <c r="E23" s="47"/>
      <c r="F23" s="51">
        <f>SUM(F12:F22)</f>
        <v>23593</v>
      </c>
      <c r="G23" s="61"/>
      <c r="H23" s="44"/>
    </row>
    <row r="24" spans="1:8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>
      <c r="A25" s="43"/>
      <c r="B25" s="46" t="s">
        <v>845</v>
      </c>
      <c r="C25" s="47"/>
      <c r="D25" s="50">
        <v>1240</v>
      </c>
      <c r="E25" s="47"/>
      <c r="F25" s="118">
        <v>7633</v>
      </c>
      <c r="G25" s="61"/>
      <c r="H25" s="44"/>
    </row>
    <row r="26" spans="1:8">
      <c r="A26" s="43"/>
      <c r="B26" s="46" t="s">
        <v>862</v>
      </c>
      <c r="C26" s="47"/>
      <c r="D26" s="50">
        <v>33842</v>
      </c>
      <c r="E26" s="47"/>
      <c r="F26" s="118">
        <v>181985</v>
      </c>
      <c r="G26" s="61"/>
      <c r="H26" s="44"/>
    </row>
    <row r="27" spans="1:8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>
      <c r="A30" s="43"/>
      <c r="B30" s="46" t="s">
        <v>866</v>
      </c>
      <c r="C30" s="47"/>
      <c r="D30" s="51">
        <f>D9+D10+D23+D24+D25+D26+D27+D28+D29</f>
        <v>37404</v>
      </c>
      <c r="E30" s="47"/>
      <c r="F30" s="51">
        <f>F9+F10+F23+F24+F25+F26+F27+F28+F29</f>
        <v>214411</v>
      </c>
      <c r="G30" s="61"/>
      <c r="H30" s="44"/>
    </row>
    <row r="31" spans="1:8">
      <c r="A31" s="43"/>
      <c r="B31" s="46"/>
      <c r="C31" s="47"/>
      <c r="D31" s="47"/>
      <c r="E31" s="47"/>
      <c r="F31" s="47"/>
      <c r="G31" s="61"/>
      <c r="H31" s="44"/>
    </row>
    <row r="32" spans="1:8" ht="15.75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>
      <c r="A33" s="43"/>
      <c r="B33" s="46" t="s">
        <v>868</v>
      </c>
      <c r="C33" s="47"/>
      <c r="D33" s="50">
        <v>24259</v>
      </c>
      <c r="E33" s="47"/>
      <c r="F33" s="118">
        <v>97936</v>
      </c>
      <c r="G33" s="61"/>
      <c r="H33" s="44"/>
    </row>
    <row r="34" spans="1:8">
      <c r="A34" s="43"/>
      <c r="B34" s="46" t="s">
        <v>869</v>
      </c>
      <c r="C34" s="47"/>
      <c r="D34" s="78">
        <v>1777</v>
      </c>
      <c r="E34" s="47"/>
      <c r="F34" s="177">
        <v>6453</v>
      </c>
      <c r="G34" s="61"/>
      <c r="H34" s="44"/>
    </row>
    <row r="35" spans="1:8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>
      <c r="A39" s="43"/>
      <c r="B39" s="46" t="s">
        <v>874</v>
      </c>
      <c r="C39" s="47"/>
      <c r="D39" s="51">
        <f>SUM(D33:D38)</f>
        <v>26036</v>
      </c>
      <c r="E39" s="47"/>
      <c r="F39" s="51">
        <f>SUM(F33:F38)</f>
        <v>104389</v>
      </c>
      <c r="G39" s="61"/>
      <c r="H39" s="44"/>
    </row>
    <row r="40" spans="1:8">
      <c r="A40" s="43"/>
      <c r="B40" s="46"/>
      <c r="C40" s="47"/>
      <c r="D40" s="47"/>
      <c r="E40" s="47"/>
      <c r="F40" s="47"/>
      <c r="G40" s="61"/>
      <c r="H40" s="44"/>
    </row>
    <row r="41" spans="1:8" ht="13.5" thickBot="1">
      <c r="A41" s="43"/>
      <c r="B41" s="65" t="s">
        <v>619</v>
      </c>
      <c r="C41" s="47"/>
      <c r="D41" s="52">
        <f>D30-D39</f>
        <v>11368</v>
      </c>
      <c r="E41" s="47"/>
      <c r="F41" s="72">
        <f>F30-F39</f>
        <v>110022</v>
      </c>
      <c r="G41" s="61"/>
      <c r="H41" s="44"/>
    </row>
    <row r="42" spans="1:8" ht="13.5" thickTop="1">
      <c r="A42" s="43"/>
      <c r="B42" s="46"/>
      <c r="C42" s="47"/>
      <c r="D42" s="47"/>
      <c r="E42" s="47"/>
      <c r="F42" s="47"/>
      <c r="G42" s="61"/>
      <c r="H42" s="44"/>
    </row>
    <row r="43" spans="1:8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>
      <c r="A44" s="43"/>
      <c r="B44" s="46" t="s">
        <v>876</v>
      </c>
      <c r="C44" s="47"/>
      <c r="D44" s="50">
        <f>F49</f>
        <v>991881</v>
      </c>
      <c r="E44" s="47"/>
      <c r="F44" s="118">
        <v>823334</v>
      </c>
      <c r="G44" s="61"/>
      <c r="H44" s="44"/>
    </row>
    <row r="45" spans="1:8">
      <c r="A45" s="43"/>
      <c r="B45" s="46" t="s">
        <v>877</v>
      </c>
      <c r="C45" s="47"/>
      <c r="D45" s="50">
        <f>F50</f>
        <v>675879</v>
      </c>
      <c r="E45" s="47"/>
      <c r="F45" s="118">
        <v>617354</v>
      </c>
      <c r="G45" s="61"/>
      <c r="H45" s="44"/>
    </row>
    <row r="46" spans="1:8" ht="13.5" thickBot="1">
      <c r="A46" s="43"/>
      <c r="B46" s="46" t="s">
        <v>878</v>
      </c>
      <c r="C46" s="47"/>
      <c r="D46" s="72">
        <f>D44-D45</f>
        <v>316002</v>
      </c>
      <c r="E46" s="47"/>
      <c r="F46" s="72">
        <f>F44-F45</f>
        <v>205980</v>
      </c>
      <c r="G46" s="61"/>
      <c r="H46" s="44"/>
    </row>
    <row r="47" spans="1:8" ht="13.5" thickTop="1">
      <c r="A47" s="43"/>
      <c r="B47" s="46"/>
      <c r="C47" s="47"/>
      <c r="D47" s="47"/>
      <c r="E47" s="47"/>
      <c r="F47" s="47"/>
      <c r="G47" s="61"/>
      <c r="H47" s="44"/>
    </row>
    <row r="48" spans="1:8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>
      <c r="A49" s="43"/>
      <c r="B49" s="65" t="s">
        <v>856</v>
      </c>
      <c r="C49" s="47"/>
      <c r="D49" s="50">
        <v>1029285</v>
      </c>
      <c r="E49" s="47"/>
      <c r="F49" s="118">
        <v>991881</v>
      </c>
      <c r="G49" s="61"/>
      <c r="H49" s="44"/>
    </row>
    <row r="50" spans="1:8">
      <c r="A50" s="43"/>
      <c r="B50" s="65" t="s">
        <v>857</v>
      </c>
      <c r="C50" s="47"/>
      <c r="D50" s="50">
        <v>701915</v>
      </c>
      <c r="E50" s="47"/>
      <c r="F50" s="118">
        <v>675879</v>
      </c>
      <c r="G50" s="61"/>
      <c r="H50" s="44"/>
    </row>
    <row r="51" spans="1:8" ht="13.5" thickBot="1">
      <c r="A51" s="43"/>
      <c r="B51" s="46" t="s">
        <v>879</v>
      </c>
      <c r="C51" s="47"/>
      <c r="D51" s="72">
        <f>D49-D50</f>
        <v>327370</v>
      </c>
      <c r="E51" s="47"/>
      <c r="F51" s="72">
        <f>F49-F50</f>
        <v>316002</v>
      </c>
      <c r="G51" s="61"/>
      <c r="H51" s="44"/>
    </row>
    <row r="52" spans="1:8" ht="13.5" thickTop="1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>
      <c r="A53" s="43"/>
      <c r="B53" s="46" t="s">
        <v>641</v>
      </c>
      <c r="C53" s="47"/>
      <c r="D53" s="50">
        <v>340769</v>
      </c>
      <c r="E53" s="47"/>
      <c r="F53" s="118">
        <v>328668</v>
      </c>
      <c r="G53" s="61"/>
      <c r="H53" s="44"/>
    </row>
    <row r="54" spans="1:8">
      <c r="A54" s="43"/>
      <c r="B54" s="46" t="s">
        <v>640</v>
      </c>
      <c r="C54" s="47"/>
      <c r="D54" s="50">
        <v>13399</v>
      </c>
      <c r="E54" s="47"/>
      <c r="F54" s="118">
        <v>12666</v>
      </c>
      <c r="G54" s="61"/>
      <c r="H54" s="44"/>
    </row>
    <row r="55" spans="1:8" ht="13.5" thickBot="1">
      <c r="A55" s="43"/>
      <c r="B55" s="46" t="s">
        <v>879</v>
      </c>
      <c r="C55" s="47"/>
      <c r="D55" s="72">
        <f>D53-D54</f>
        <v>327370</v>
      </c>
      <c r="E55" s="47"/>
      <c r="F55" s="72">
        <f>F53-F54</f>
        <v>316002</v>
      </c>
      <c r="G55" s="61"/>
      <c r="H55" s="44"/>
    </row>
    <row r="56" spans="1:8" ht="20.25" customHeight="1" thickTop="1">
      <c r="A56" s="43"/>
      <c r="B56" s="221" t="s">
        <v>881</v>
      </c>
      <c r="C56" s="47"/>
      <c r="D56" s="47"/>
      <c r="E56" s="47"/>
      <c r="F56" s="47"/>
      <c r="G56" s="61"/>
      <c r="H56" s="44"/>
    </row>
    <row r="57" spans="1:8">
      <c r="A57" s="43"/>
      <c r="B57" s="46" t="s">
        <v>882</v>
      </c>
      <c r="C57" s="47"/>
      <c r="D57" s="50"/>
      <c r="E57" s="47"/>
      <c r="F57" s="118">
        <v>45864</v>
      </c>
      <c r="G57" s="61"/>
      <c r="H57" s="44"/>
    </row>
    <row r="58" spans="1:8">
      <c r="A58" s="43"/>
      <c r="B58" s="46" t="s">
        <v>883</v>
      </c>
      <c r="C58" s="47"/>
      <c r="D58" s="50"/>
      <c r="E58" s="47"/>
      <c r="F58" s="118">
        <v>45864</v>
      </c>
      <c r="G58" s="61"/>
      <c r="H58" s="44"/>
    </row>
    <row r="59" spans="1:8" hidden="1">
      <c r="A59" s="43"/>
      <c r="B59" s="46"/>
      <c r="C59" s="47"/>
      <c r="D59" s="148"/>
      <c r="E59" s="148"/>
      <c r="F59" s="148"/>
      <c r="G59" s="61"/>
      <c r="H59" s="44"/>
    </row>
    <row r="60" spans="1:8" hidden="1">
      <c r="A60" s="43"/>
      <c r="B60" s="46"/>
      <c r="C60" s="47"/>
      <c r="D60" s="222" t="s">
        <v>884</v>
      </c>
      <c r="E60" s="222"/>
      <c r="F60" s="222" t="s">
        <v>885</v>
      </c>
      <c r="G60" s="61"/>
      <c r="H60" s="44" t="s">
        <v>886</v>
      </c>
    </row>
    <row r="61" spans="1:8" hidden="1">
      <c r="A61" s="43"/>
      <c r="B61" s="46"/>
      <c r="C61" s="47"/>
      <c r="D61" s="222" t="s">
        <v>884</v>
      </c>
      <c r="E61" s="222"/>
      <c r="F61" s="222" t="s">
        <v>887</v>
      </c>
      <c r="G61" s="61"/>
      <c r="H61" s="44" t="s">
        <v>888</v>
      </c>
    </row>
    <row r="62" spans="1:8" hidden="1">
      <c r="A62" s="43"/>
      <c r="B62" s="46">
        <v>3</v>
      </c>
      <c r="C62" s="47"/>
      <c r="D62" s="222" t="s">
        <v>889</v>
      </c>
      <c r="E62" s="222"/>
      <c r="F62" s="222" t="s">
        <v>890</v>
      </c>
      <c r="G62" s="61"/>
      <c r="H62" s="44" t="s">
        <v>891</v>
      </c>
    </row>
    <row r="63" spans="1:8" hidden="1">
      <c r="A63" s="43"/>
      <c r="B63" s="46">
        <v>4</v>
      </c>
      <c r="C63" s="47"/>
      <c r="D63" s="222" t="s">
        <v>889</v>
      </c>
      <c r="E63" s="222"/>
      <c r="F63" s="222" t="s">
        <v>892</v>
      </c>
      <c r="G63" s="61"/>
      <c r="H63" s="44" t="s">
        <v>893</v>
      </c>
    </row>
    <row r="64" spans="1:8" hidden="1">
      <c r="A64" s="43"/>
      <c r="B64" s="46">
        <v>3</v>
      </c>
      <c r="C64" s="47"/>
      <c r="D64" s="222" t="s">
        <v>889</v>
      </c>
      <c r="E64" s="222"/>
      <c r="F64" s="222" t="s">
        <v>894</v>
      </c>
      <c r="G64" s="61"/>
      <c r="H64" s="44" t="s">
        <v>895</v>
      </c>
    </row>
    <row r="65" spans="1:8" hidden="1">
      <c r="A65" s="43"/>
      <c r="B65" s="46">
        <v>3</v>
      </c>
      <c r="C65" s="47"/>
      <c r="D65" s="222" t="s">
        <v>889</v>
      </c>
      <c r="E65" s="222"/>
      <c r="F65" s="222" t="s">
        <v>896</v>
      </c>
      <c r="G65" s="61"/>
      <c r="H65" s="44" t="s">
        <v>897</v>
      </c>
    </row>
    <row r="66" spans="1:8" hidden="1">
      <c r="A66" s="43"/>
      <c r="B66" s="46"/>
      <c r="C66" s="47"/>
      <c r="D66" s="222" t="s">
        <v>889</v>
      </c>
      <c r="E66" s="222"/>
      <c r="F66" s="222" t="s">
        <v>898</v>
      </c>
      <c r="G66" s="61"/>
      <c r="H66" s="44" t="s">
        <v>899</v>
      </c>
    </row>
    <row r="67" spans="1:8" hidden="1">
      <c r="A67" s="43"/>
      <c r="B67" s="46"/>
      <c r="C67" s="47"/>
      <c r="D67" s="222" t="s">
        <v>889</v>
      </c>
      <c r="E67" s="222"/>
      <c r="F67" s="222" t="s">
        <v>900</v>
      </c>
      <c r="G67" s="61"/>
      <c r="H67" s="44" t="s">
        <v>901</v>
      </c>
    </row>
    <row r="68" spans="1:8" hidden="1">
      <c r="A68" s="43"/>
      <c r="B68" s="46"/>
      <c r="C68" s="47"/>
      <c r="D68" s="222" t="s">
        <v>889</v>
      </c>
      <c r="E68" s="222"/>
      <c r="F68" s="222" t="s">
        <v>902</v>
      </c>
      <c r="G68" s="61"/>
      <c r="H68" s="44" t="s">
        <v>903</v>
      </c>
    </row>
    <row r="69" spans="1:8" hidden="1">
      <c r="A69" s="43"/>
      <c r="B69" s="46"/>
      <c r="C69" s="47"/>
      <c r="D69" s="222" t="s">
        <v>889</v>
      </c>
      <c r="E69" s="222"/>
      <c r="F69" s="222" t="s">
        <v>902</v>
      </c>
      <c r="G69" s="61"/>
      <c r="H69" s="44" t="s">
        <v>904</v>
      </c>
    </row>
    <row r="70" spans="1:8">
      <c r="A70" s="43"/>
      <c r="B70" s="53"/>
      <c r="C70" s="54"/>
      <c r="D70" s="54"/>
      <c r="E70" s="54"/>
      <c r="F70" s="54"/>
      <c r="G70" s="79"/>
      <c r="H70" s="44"/>
    </row>
    <row r="71" spans="1:8">
      <c r="A71" s="43"/>
      <c r="B71" s="43"/>
      <c r="C71" s="43"/>
      <c r="D71" s="43"/>
      <c r="E71" s="43"/>
      <c r="F71" s="43"/>
      <c r="G71" s="43"/>
      <c r="H71" s="44"/>
    </row>
    <row r="72" spans="1:8" ht="13.5" thickBot="1">
      <c r="A72" s="56"/>
      <c r="B72" s="56"/>
      <c r="C72" s="56"/>
      <c r="D72" s="56"/>
      <c r="E72" s="56"/>
      <c r="F72" s="56"/>
      <c r="G72" s="56"/>
      <c r="H72" s="57"/>
    </row>
    <row r="73" spans="1:8" ht="13.5" thickTop="1"/>
    <row r="110" ht="3" customHeight="1"/>
    <row r="303" spans="2:9" ht="18">
      <c r="B303" s="632" t="str">
        <f>C1</f>
        <v>עיריית בת-ים</v>
      </c>
      <c r="C303" s="632"/>
      <c r="D303" s="632"/>
      <c r="E303" s="632"/>
      <c r="F303" s="632"/>
    </row>
    <row r="304" spans="2:9" ht="18">
      <c r="B304" s="632" t="str">
        <f>C2</f>
        <v>ריכוז תקבולים ותשלומים של תב"רים באלפי ₪</v>
      </c>
      <c r="C304" s="632"/>
      <c r="D304" s="632"/>
      <c r="E304" s="632"/>
      <c r="F304" s="632"/>
      <c r="G304" s="223"/>
      <c r="H304" s="223"/>
      <c r="I304" s="223"/>
    </row>
    <row r="305" spans="2:7" ht="18">
      <c r="B305" s="632" t="str">
        <f>C3</f>
        <v>לתקופה: רבעון 1, שנת 2021</v>
      </c>
      <c r="C305" s="632"/>
      <c r="D305" s="632"/>
      <c r="E305" s="632"/>
      <c r="F305" s="632"/>
    </row>
    <row r="308" spans="2:7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>
      <c r="B310" s="224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>
      <c r="B311" s="158" t="str">
        <f t="shared" si="0"/>
        <v>מלוות מהאוצר</v>
      </c>
      <c r="C311" s="157"/>
      <c r="D311" s="225">
        <f t="shared" si="1"/>
        <v>0</v>
      </c>
      <c r="E311" s="157">
        <f t="shared" si="1"/>
        <v>0</v>
      </c>
      <c r="F311" s="225">
        <f t="shared" si="1"/>
        <v>0</v>
      </c>
      <c r="G311" s="156">
        <f t="shared" si="1"/>
        <v>0</v>
      </c>
    </row>
    <row r="312" spans="2:7">
      <c r="B312" s="158" t="str">
        <f t="shared" si="0"/>
        <v>מלוות מאחרים</v>
      </c>
      <c r="C312" s="157"/>
      <c r="D312" s="226">
        <f t="shared" si="1"/>
        <v>0</v>
      </c>
      <c r="E312" s="157">
        <f t="shared" si="1"/>
        <v>0</v>
      </c>
      <c r="F312" s="226">
        <f t="shared" si="1"/>
        <v>1200</v>
      </c>
      <c r="G312" s="156">
        <f t="shared" si="1"/>
        <v>0</v>
      </c>
    </row>
    <row r="313" spans="2:7" ht="18" customHeight="1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>
      <c r="B314" s="158" t="str">
        <f t="shared" si="0"/>
        <v>משרד הפנים</v>
      </c>
      <c r="C314" s="157"/>
      <c r="D314" s="225">
        <f t="shared" si="1"/>
        <v>1098</v>
      </c>
      <c r="E314" s="157">
        <f t="shared" si="1"/>
        <v>0</v>
      </c>
      <c r="F314" s="225">
        <f t="shared" si="1"/>
        <v>9339</v>
      </c>
      <c r="G314" s="156">
        <f t="shared" si="1"/>
        <v>0</v>
      </c>
    </row>
    <row r="315" spans="2:7">
      <c r="B315" s="158" t="str">
        <f t="shared" si="0"/>
        <v>משרד הבטחון</v>
      </c>
      <c r="C315" s="157"/>
      <c r="D315" s="139">
        <f t="shared" si="1"/>
        <v>0</v>
      </c>
      <c r="E315" s="157">
        <f t="shared" si="1"/>
        <v>0</v>
      </c>
      <c r="F315" s="139">
        <f t="shared" si="1"/>
        <v>75</v>
      </c>
      <c r="G315" s="156">
        <f t="shared" si="1"/>
        <v>0</v>
      </c>
    </row>
    <row r="316" spans="2:7">
      <c r="B316" s="158" t="str">
        <f t="shared" si="0"/>
        <v>משרד החינוך</v>
      </c>
      <c r="C316" s="157"/>
      <c r="D316" s="139">
        <f t="shared" si="1"/>
        <v>254</v>
      </c>
      <c r="E316" s="157">
        <f t="shared" si="1"/>
        <v>0</v>
      </c>
      <c r="F316" s="139">
        <f t="shared" si="1"/>
        <v>4717</v>
      </c>
      <c r="G316" s="156">
        <f t="shared" si="1"/>
        <v>0</v>
      </c>
    </row>
    <row r="317" spans="2:7">
      <c r="B317" s="158" t="str">
        <f t="shared" si="0"/>
        <v>משרד הדתות</v>
      </c>
      <c r="C317" s="157"/>
      <c r="D317" s="139">
        <f t="shared" si="1"/>
        <v>0</v>
      </c>
      <c r="E317" s="157">
        <f t="shared" si="1"/>
        <v>0</v>
      </c>
      <c r="F317" s="139">
        <f t="shared" si="1"/>
        <v>0</v>
      </c>
      <c r="G317" s="156">
        <f t="shared" si="1"/>
        <v>0</v>
      </c>
    </row>
    <row r="318" spans="2:7">
      <c r="B318" s="158" t="str">
        <f t="shared" si="0"/>
        <v>משרד העבודה והרווחה</v>
      </c>
      <c r="C318" s="157"/>
      <c r="D318" s="139">
        <f t="shared" si="1"/>
        <v>0</v>
      </c>
      <c r="E318" s="157">
        <f t="shared" si="1"/>
        <v>0</v>
      </c>
      <c r="F318" s="139">
        <f t="shared" si="1"/>
        <v>2800</v>
      </c>
      <c r="G318" s="156">
        <f t="shared" si="1"/>
        <v>0</v>
      </c>
    </row>
    <row r="319" spans="2:7">
      <c r="B319" s="158" t="str">
        <f t="shared" si="0"/>
        <v>משרד איכות הסביבה</v>
      </c>
      <c r="C319" s="157"/>
      <c r="D319" s="139">
        <f t="shared" si="1"/>
        <v>0</v>
      </c>
      <c r="E319" s="157">
        <f t="shared" si="1"/>
        <v>0</v>
      </c>
      <c r="F319" s="139">
        <f t="shared" si="1"/>
        <v>79</v>
      </c>
      <c r="G319" s="156">
        <f t="shared" si="1"/>
        <v>0</v>
      </c>
    </row>
    <row r="320" spans="2:7">
      <c r="B320" s="158" t="str">
        <f t="shared" si="0"/>
        <v>משרד הבינוי והשיכון</v>
      </c>
      <c r="C320" s="157"/>
      <c r="D320" s="139">
        <f t="shared" si="1"/>
        <v>25</v>
      </c>
      <c r="E320" s="157">
        <f t="shared" si="1"/>
        <v>0</v>
      </c>
      <c r="F320" s="139">
        <f t="shared" si="1"/>
        <v>1000</v>
      </c>
      <c r="G320" s="156">
        <f t="shared" si="1"/>
        <v>0</v>
      </c>
    </row>
    <row r="321" spans="2:7">
      <c r="B321" s="158" t="str">
        <f t="shared" si="0"/>
        <v>משרד התשתיות</v>
      </c>
      <c r="C321" s="157"/>
      <c r="D321" s="139">
        <f t="shared" si="1"/>
        <v>0</v>
      </c>
      <c r="E321" s="157">
        <f t="shared" si="1"/>
        <v>0</v>
      </c>
      <c r="F321" s="139">
        <f t="shared" si="1"/>
        <v>0</v>
      </c>
      <c r="G321" s="156">
        <f t="shared" si="1"/>
        <v>0</v>
      </c>
    </row>
    <row r="322" spans="2:7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>
      <c r="B323" s="158" t="str">
        <f t="shared" si="0"/>
        <v>משרד התחבורה</v>
      </c>
      <c r="C323" s="157"/>
      <c r="D323" s="139">
        <f t="shared" si="1"/>
        <v>40</v>
      </c>
      <c r="E323" s="157">
        <f t="shared" si="1"/>
        <v>0</v>
      </c>
      <c r="F323" s="139">
        <f t="shared" si="1"/>
        <v>3738</v>
      </c>
      <c r="G323" s="156">
        <f t="shared" si="1"/>
        <v>0</v>
      </c>
    </row>
    <row r="324" spans="2:7">
      <c r="B324" s="158" t="str">
        <f t="shared" si="0"/>
        <v>משרדים אחרים</v>
      </c>
      <c r="C324" s="157"/>
      <c r="D324" s="139">
        <f t="shared" ref="D324:G325" si="2">D22</f>
        <v>905</v>
      </c>
      <c r="E324" s="157">
        <f t="shared" si="2"/>
        <v>0</v>
      </c>
      <c r="F324" s="139">
        <f t="shared" si="2"/>
        <v>1845</v>
      </c>
      <c r="G324" s="156">
        <f t="shared" si="2"/>
        <v>0</v>
      </c>
    </row>
    <row r="325" spans="2:7">
      <c r="B325" s="158" t="str">
        <f t="shared" si="0"/>
        <v>סה"כ השתתפות משרדי ממשלה</v>
      </c>
      <c r="C325" s="157"/>
      <c r="D325" s="143">
        <f t="shared" si="2"/>
        <v>2322</v>
      </c>
      <c r="E325" s="157">
        <f t="shared" si="2"/>
        <v>0</v>
      </c>
      <c r="F325" s="143">
        <f t="shared" si="2"/>
        <v>23593</v>
      </c>
      <c r="G325" s="156">
        <f t="shared" si="2"/>
        <v>0</v>
      </c>
    </row>
    <row r="326" spans="2:7" ht="17.25" customHeight="1">
      <c r="B326" s="160" t="s">
        <v>854</v>
      </c>
      <c r="C326" s="157"/>
      <c r="D326" s="531"/>
      <c r="E326" s="157"/>
      <c r="F326" s="531"/>
      <c r="G326" s="156"/>
    </row>
    <row r="327" spans="2:7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>
      <c r="B328" s="158" t="str">
        <f t="shared" si="3"/>
        <v>מקורות אחרים</v>
      </c>
      <c r="C328" s="157"/>
      <c r="D328" s="139">
        <f t="shared" si="4"/>
        <v>1240</v>
      </c>
      <c r="E328" s="157">
        <f t="shared" si="4"/>
        <v>0</v>
      </c>
      <c r="F328" s="139">
        <f t="shared" si="4"/>
        <v>7633</v>
      </c>
      <c r="G328" s="156">
        <f t="shared" si="4"/>
        <v>0</v>
      </c>
    </row>
    <row r="329" spans="2:7">
      <c r="B329" s="158" t="str">
        <f t="shared" si="3"/>
        <v>העברה מקרנות הרשות</v>
      </c>
      <c r="C329" s="157"/>
      <c r="D329" s="139">
        <f t="shared" si="4"/>
        <v>33842</v>
      </c>
      <c r="E329" s="157">
        <f t="shared" si="4"/>
        <v>0</v>
      </c>
      <c r="F329" s="139">
        <f t="shared" si="4"/>
        <v>181985</v>
      </c>
      <c r="G329" s="156">
        <f t="shared" si="4"/>
        <v>0</v>
      </c>
    </row>
    <row r="330" spans="2:7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>
      <c r="B333" s="158" t="str">
        <f t="shared" si="3"/>
        <v>סה"כ תקבולים</v>
      </c>
      <c r="C333" s="157"/>
      <c r="D333" s="143">
        <f t="shared" si="5"/>
        <v>37404</v>
      </c>
      <c r="E333" s="157">
        <f t="shared" si="5"/>
        <v>0</v>
      </c>
      <c r="F333" s="143">
        <f t="shared" si="5"/>
        <v>214411</v>
      </c>
      <c r="G333" s="156">
        <f t="shared" ref="G333:G340" si="6">G30</f>
        <v>0</v>
      </c>
    </row>
    <row r="334" spans="2:7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>
      <c r="B335" s="224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>
      <c r="B336" s="158" t="str">
        <f t="shared" si="3"/>
        <v>עבודות שבוצעו במשך השנה</v>
      </c>
      <c r="C336" s="157"/>
      <c r="D336" s="136">
        <f t="shared" si="5"/>
        <v>24259</v>
      </c>
      <c r="E336" s="157">
        <f t="shared" si="5"/>
        <v>0</v>
      </c>
      <c r="F336" s="136">
        <f t="shared" si="5"/>
        <v>97936</v>
      </c>
      <c r="G336" s="156">
        <f t="shared" si="6"/>
        <v>0</v>
      </c>
    </row>
    <row r="337" spans="2:7">
      <c r="B337" s="158" t="str">
        <f t="shared" si="3"/>
        <v>הוצאות אחרות (תכנון, ציוד וכד')</v>
      </c>
      <c r="C337" s="157"/>
      <c r="D337" s="139">
        <f t="shared" si="5"/>
        <v>1777</v>
      </c>
      <c r="E337" s="157">
        <f t="shared" si="5"/>
        <v>0</v>
      </c>
      <c r="F337" s="139">
        <f t="shared" si="5"/>
        <v>6453</v>
      </c>
      <c r="G337" s="156">
        <f t="shared" si="6"/>
        <v>0</v>
      </c>
    </row>
    <row r="338" spans="2:7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>
      <c r="B342" s="158" t="str">
        <f t="shared" si="3"/>
        <v>סה"כ תשלומים</v>
      </c>
      <c r="C342" s="157"/>
      <c r="D342" s="143">
        <f t="shared" si="7"/>
        <v>26036</v>
      </c>
      <c r="E342" s="157">
        <f t="shared" si="7"/>
        <v>0</v>
      </c>
      <c r="F342" s="143">
        <f t="shared" si="7"/>
        <v>104389</v>
      </c>
      <c r="G342" s="156">
        <f t="shared" si="7"/>
        <v>0</v>
      </c>
    </row>
    <row r="343" spans="2:7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>
      <c r="B344" s="158" t="str">
        <f t="shared" si="3"/>
        <v>עודף (גרעון) בתקופת הדוח</v>
      </c>
      <c r="C344" s="157"/>
      <c r="D344" s="145">
        <f t="shared" si="7"/>
        <v>11368</v>
      </c>
      <c r="E344" s="157">
        <f t="shared" si="7"/>
        <v>0</v>
      </c>
      <c r="F344" s="145">
        <f t="shared" si="7"/>
        <v>110022</v>
      </c>
      <c r="G344" s="156">
        <f t="shared" si="7"/>
        <v>0</v>
      </c>
    </row>
    <row r="345" spans="2:7" ht="13.5" thickTop="1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>
      <c r="B347" s="158" t="str">
        <f t="shared" si="3"/>
        <v>תקבולים שנצברו (תחילת שנה)</v>
      </c>
      <c r="C347" s="157"/>
      <c r="D347" s="136">
        <f t="shared" si="7"/>
        <v>991881</v>
      </c>
      <c r="E347" s="133">
        <f t="shared" si="7"/>
        <v>0</v>
      </c>
      <c r="F347" s="136">
        <f t="shared" si="7"/>
        <v>823334</v>
      </c>
      <c r="G347" s="156">
        <f t="shared" si="7"/>
        <v>0</v>
      </c>
    </row>
    <row r="348" spans="2:7">
      <c r="B348" s="158" t="str">
        <f t="shared" si="3"/>
        <v>תשלומים שנצברו (תחילת שנה)</v>
      </c>
      <c r="C348" s="157"/>
      <c r="D348" s="139">
        <f t="shared" si="7"/>
        <v>675879</v>
      </c>
      <c r="E348" s="133">
        <f t="shared" si="7"/>
        <v>0</v>
      </c>
      <c r="F348" s="139">
        <f t="shared" si="7"/>
        <v>617354</v>
      </c>
      <c r="G348" s="156">
        <f t="shared" si="7"/>
        <v>0</v>
      </c>
    </row>
    <row r="349" spans="2:7" ht="13.5" thickBot="1">
      <c r="B349" s="158" t="str">
        <f t="shared" si="3"/>
        <v>יתרות זמניות נטו לתחילת השנה</v>
      </c>
      <c r="C349" s="157"/>
      <c r="D349" s="145">
        <f t="shared" si="7"/>
        <v>316002</v>
      </c>
      <c r="E349" s="133">
        <f t="shared" si="7"/>
        <v>0</v>
      </c>
      <c r="F349" s="145">
        <f t="shared" si="7"/>
        <v>205980</v>
      </c>
      <c r="G349" s="156">
        <f t="shared" si="7"/>
        <v>0</v>
      </c>
    </row>
    <row r="350" spans="2:7" ht="13.5" thickTop="1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>
      <c r="B352" s="158" t="str">
        <f t="shared" si="3"/>
        <v>תקבולים שנצברו (סוף תקופה)</v>
      </c>
      <c r="C352" s="157"/>
      <c r="D352" s="136">
        <f t="shared" si="7"/>
        <v>1029285</v>
      </c>
      <c r="E352" s="133">
        <f t="shared" si="7"/>
        <v>0</v>
      </c>
      <c r="F352" s="136">
        <f t="shared" si="7"/>
        <v>991881</v>
      </c>
      <c r="G352" s="156">
        <f t="shared" si="7"/>
        <v>0</v>
      </c>
    </row>
    <row r="353" spans="2:7">
      <c r="B353" s="158" t="str">
        <f t="shared" si="3"/>
        <v>תשלומים שנצברו (סוף תקופה)</v>
      </c>
      <c r="C353" s="157"/>
      <c r="D353" s="139">
        <f t="shared" si="7"/>
        <v>701915</v>
      </c>
      <c r="E353" s="133">
        <f t="shared" si="7"/>
        <v>0</v>
      </c>
      <c r="F353" s="139">
        <f t="shared" si="7"/>
        <v>675879</v>
      </c>
      <c r="G353" s="156">
        <f t="shared" si="7"/>
        <v>0</v>
      </c>
    </row>
    <row r="354" spans="2:7" ht="13.5" thickBot="1">
      <c r="B354" s="158" t="str">
        <f t="shared" si="3"/>
        <v>עודף (גרעון) נטו</v>
      </c>
      <c r="C354" s="157"/>
      <c r="D354" s="145">
        <f t="shared" si="7"/>
        <v>327370</v>
      </c>
      <c r="E354" s="133">
        <f t="shared" si="7"/>
        <v>0</v>
      </c>
      <c r="F354" s="145">
        <f t="shared" si="7"/>
        <v>316002</v>
      </c>
      <c r="G354" s="156">
        <f t="shared" si="7"/>
        <v>0</v>
      </c>
    </row>
    <row r="355" spans="2:7" ht="18" customHeight="1" thickTop="1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>
      <c r="B356" s="158" t="str">
        <f t="shared" si="3"/>
        <v>עודפי מימון זמניים</v>
      </c>
      <c r="C356" s="157"/>
      <c r="D356" s="139">
        <f t="shared" si="7"/>
        <v>340769</v>
      </c>
      <c r="E356" s="133">
        <f t="shared" si="7"/>
        <v>0</v>
      </c>
      <c r="F356" s="139">
        <f t="shared" si="7"/>
        <v>328668</v>
      </c>
      <c r="G356" s="156">
        <f t="shared" si="7"/>
        <v>0</v>
      </c>
    </row>
    <row r="357" spans="2:7">
      <c r="B357" s="158" t="str">
        <f t="shared" si="3"/>
        <v>גרעונות מימון זמניים</v>
      </c>
      <c r="C357" s="157"/>
      <c r="D357" s="139">
        <f t="shared" ref="D357:G362" si="8">D54</f>
        <v>13399</v>
      </c>
      <c r="E357" s="133">
        <f t="shared" si="8"/>
        <v>0</v>
      </c>
      <c r="F357" s="139">
        <f t="shared" si="8"/>
        <v>12666</v>
      </c>
      <c r="G357" s="156">
        <f t="shared" si="8"/>
        <v>0</v>
      </c>
    </row>
    <row r="358" spans="2:7" ht="13.5" thickBot="1">
      <c r="B358" s="158" t="str">
        <f t="shared" si="3"/>
        <v>עודף (גרעון) נטו</v>
      </c>
      <c r="C358" s="157"/>
      <c r="D358" s="145">
        <f t="shared" si="8"/>
        <v>327370</v>
      </c>
      <c r="E358" s="133">
        <f t="shared" si="8"/>
        <v>0</v>
      </c>
      <c r="F358" s="145">
        <f t="shared" si="8"/>
        <v>316002</v>
      </c>
      <c r="G358" s="156">
        <f t="shared" si="8"/>
        <v>0</v>
      </c>
    </row>
    <row r="359" spans="2:7" ht="18" customHeight="1" thickTop="1">
      <c r="B359" s="227" t="str">
        <f t="shared" si="3"/>
        <v>(*)לאחר נכוי השקעות בפרויקטים שנסגרו בתקופת הדוח</v>
      </c>
      <c r="C359" s="157"/>
      <c r="D359" s="228">
        <f t="shared" si="8"/>
        <v>0</v>
      </c>
      <c r="E359" s="133">
        <f t="shared" si="8"/>
        <v>0</v>
      </c>
      <c r="F359" s="228">
        <f t="shared" si="8"/>
        <v>0</v>
      </c>
      <c r="G359" s="156">
        <f t="shared" si="8"/>
        <v>0</v>
      </c>
    </row>
    <row r="360" spans="2:7">
      <c r="B360" s="158" t="str">
        <f t="shared" si="3"/>
        <v>תקבולים (בנכוי פרויקטים שנסגרו)</v>
      </c>
      <c r="C360" s="157"/>
      <c r="D360" s="136">
        <f t="shared" si="8"/>
        <v>0</v>
      </c>
      <c r="E360" s="133">
        <f t="shared" si="8"/>
        <v>0</v>
      </c>
      <c r="F360" s="136">
        <f t="shared" si="8"/>
        <v>45864</v>
      </c>
      <c r="G360" s="156">
        <f t="shared" si="8"/>
        <v>0</v>
      </c>
    </row>
    <row r="361" spans="2:7">
      <c r="B361" s="158" t="str">
        <f t="shared" si="3"/>
        <v>תשלומים (בנכוי פרויקטים שנסגרו)</v>
      </c>
      <c r="C361" s="157"/>
      <c r="D361" s="226">
        <f t="shared" si="8"/>
        <v>0</v>
      </c>
      <c r="E361" s="133">
        <f t="shared" si="8"/>
        <v>0</v>
      </c>
      <c r="F361" s="226">
        <f t="shared" si="8"/>
        <v>45864</v>
      </c>
      <c r="G361" s="156">
        <f t="shared" si="8"/>
        <v>0</v>
      </c>
    </row>
    <row r="362" spans="2:7" hidden="1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>
      <c r="B363" s="158"/>
      <c r="C363" s="157"/>
      <c r="D363" s="229"/>
      <c r="E363" s="229"/>
      <c r="F363" s="229"/>
      <c r="G363" s="156"/>
    </row>
    <row r="364" spans="2:7" ht="22.5" customHeight="1">
      <c r="B364" s="532" t="str">
        <f>CONCATENATE("ביקורת:   ",BikoretCode)</f>
        <v xml:space="preserve">ביקורת:   </v>
      </c>
      <c r="C364" s="157"/>
      <c r="D364" s="229"/>
      <c r="E364" s="229"/>
      <c r="F364" s="229"/>
      <c r="G364" s="156"/>
    </row>
    <row r="365" spans="2:7">
      <c r="B365" s="158"/>
      <c r="C365" s="157"/>
      <c r="D365" s="229"/>
      <c r="E365" s="229"/>
      <c r="F365" s="229"/>
      <c r="G365" s="156"/>
    </row>
    <row r="366" spans="2:7">
      <c r="B366" s="158"/>
      <c r="C366" s="157"/>
      <c r="D366" s="229"/>
      <c r="E366" s="229"/>
      <c r="F366" s="229"/>
      <c r="G366" s="156"/>
    </row>
    <row r="367" spans="2:7">
      <c r="B367" s="158"/>
      <c r="C367" s="157"/>
      <c r="D367" s="229"/>
      <c r="E367" s="229"/>
      <c r="F367" s="229"/>
      <c r="G367" s="156"/>
    </row>
    <row r="368" spans="2:7">
      <c r="B368" s="158"/>
      <c r="C368" s="157"/>
      <c r="D368" s="229"/>
      <c r="E368" s="229"/>
      <c r="F368" s="229"/>
      <c r="G368" s="156"/>
    </row>
    <row r="369" spans="2:7">
      <c r="B369" s="158"/>
      <c r="C369" s="157"/>
      <c r="D369" s="229"/>
      <c r="E369" s="229"/>
      <c r="F369" s="229"/>
      <c r="G369" s="156"/>
    </row>
    <row r="370" spans="2:7">
      <c r="B370" s="158"/>
      <c r="C370" s="157"/>
      <c r="D370" s="229"/>
      <c r="E370" s="229"/>
      <c r="F370" s="229"/>
      <c r="G370" s="156"/>
    </row>
    <row r="371" spans="2:7">
      <c r="B371" s="158"/>
      <c r="C371" s="157"/>
      <c r="D371" s="229"/>
      <c r="E371" s="229"/>
      <c r="F371" s="229"/>
      <c r="G371" s="156"/>
    </row>
    <row r="372" spans="2:7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>
      <c r="A1" s="105"/>
      <c r="B1" s="105"/>
      <c r="C1" s="105"/>
      <c r="D1" s="105"/>
      <c r="E1" s="639" t="str">
        <f>GufMevukar</f>
        <v>עיריית בת-ים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105"/>
    </row>
    <row r="2" spans="1:26" ht="19.5" thickTop="1" thickBot="1">
      <c r="A2" s="105"/>
      <c r="B2" s="105"/>
      <c r="C2" s="105"/>
      <c r="D2" s="105"/>
      <c r="E2" s="642" t="s">
        <v>801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105"/>
    </row>
    <row r="3" spans="1:26" ht="19.5" thickTop="1" thickBot="1">
      <c r="A3" s="105"/>
      <c r="B3" s="105"/>
      <c r="C3" s="105"/>
      <c r="D3" s="105"/>
      <c r="E3" s="639" t="str">
        <f>ReportPeriod</f>
        <v>לתקופה: רבעון 1, שנת 2021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  <c r="Z3" s="105"/>
    </row>
    <row r="4" spans="1:26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>
      <c r="A8" s="110"/>
      <c r="B8" s="114">
        <v>61</v>
      </c>
      <c r="C8" s="195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>
      <c r="A9" s="110"/>
      <c r="B9" s="114">
        <v>62</v>
      </c>
      <c r="C9" s="195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>
      <c r="A10" s="110"/>
      <c r="B10" s="114">
        <v>63</v>
      </c>
      <c r="C10" s="195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>
      <c r="A11" s="110"/>
      <c r="B11" s="114">
        <v>64</v>
      </c>
      <c r="C11" s="195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>
      <c r="A12" s="110"/>
      <c r="B12" s="114">
        <v>71</v>
      </c>
      <c r="C12" s="195" t="s">
        <v>712</v>
      </c>
      <c r="D12" s="118">
        <v>17</v>
      </c>
      <c r="E12" s="115"/>
      <c r="F12" s="118">
        <v>25642</v>
      </c>
      <c r="G12" s="115"/>
      <c r="H12" s="118">
        <v>18404</v>
      </c>
      <c r="I12" s="115"/>
      <c r="J12" s="118">
        <v>12823</v>
      </c>
      <c r="K12" s="115"/>
      <c r="L12" s="118">
        <v>3214</v>
      </c>
      <c r="M12" s="115"/>
      <c r="N12" s="118">
        <v>218</v>
      </c>
      <c r="O12" s="115"/>
      <c r="P12" s="119">
        <f t="shared" si="0"/>
        <v>21618</v>
      </c>
      <c r="Q12" s="115"/>
      <c r="R12" s="119">
        <f t="shared" si="1"/>
        <v>13041</v>
      </c>
      <c r="S12" s="115"/>
      <c r="T12" s="118">
        <v>8632</v>
      </c>
      <c r="U12" s="115"/>
      <c r="V12" s="119">
        <f t="shared" si="2"/>
        <v>55</v>
      </c>
      <c r="W12" s="115"/>
      <c r="X12" s="119">
        <f t="shared" si="3"/>
        <v>8577</v>
      </c>
      <c r="Y12" s="116"/>
      <c r="Z12" s="111"/>
    </row>
    <row r="13" spans="1:26">
      <c r="A13" s="110"/>
      <c r="B13" s="114">
        <v>72</v>
      </c>
      <c r="C13" s="195" t="s">
        <v>713</v>
      </c>
      <c r="D13" s="118">
        <v>4</v>
      </c>
      <c r="E13" s="115"/>
      <c r="F13" s="118">
        <v>1850</v>
      </c>
      <c r="G13" s="115"/>
      <c r="H13" s="118">
        <v>1750</v>
      </c>
      <c r="I13" s="115"/>
      <c r="J13" s="118">
        <v>723</v>
      </c>
      <c r="K13" s="115"/>
      <c r="L13" s="118">
        <v>75</v>
      </c>
      <c r="M13" s="115"/>
      <c r="N13" s="118">
        <v>93</v>
      </c>
      <c r="O13" s="115"/>
      <c r="P13" s="119">
        <f t="shared" si="0"/>
        <v>1825</v>
      </c>
      <c r="Q13" s="115"/>
      <c r="R13" s="119">
        <f t="shared" si="1"/>
        <v>816</v>
      </c>
      <c r="S13" s="115"/>
      <c r="T13" s="118">
        <v>1008</v>
      </c>
      <c r="U13" s="115"/>
      <c r="V13" s="119">
        <f t="shared" si="2"/>
        <v>-1</v>
      </c>
      <c r="W13" s="115"/>
      <c r="X13" s="119">
        <f t="shared" si="3"/>
        <v>1009</v>
      </c>
      <c r="Y13" s="116"/>
      <c r="Z13" s="111"/>
    </row>
    <row r="14" spans="1:26">
      <c r="A14" s="110"/>
      <c r="B14" s="114">
        <v>73</v>
      </c>
      <c r="C14" s="195" t="s">
        <v>813</v>
      </c>
      <c r="D14" s="118">
        <v>39</v>
      </c>
      <c r="E14" s="115"/>
      <c r="F14" s="118">
        <v>305121</v>
      </c>
      <c r="G14" s="115"/>
      <c r="H14" s="118">
        <v>291032</v>
      </c>
      <c r="I14" s="115"/>
      <c r="J14" s="118">
        <v>194813</v>
      </c>
      <c r="K14" s="115"/>
      <c r="L14" s="118">
        <v>1130</v>
      </c>
      <c r="M14" s="115"/>
      <c r="N14" s="118">
        <v>5199</v>
      </c>
      <c r="O14" s="115"/>
      <c r="P14" s="119">
        <f t="shared" si="0"/>
        <v>292162</v>
      </c>
      <c r="Q14" s="115"/>
      <c r="R14" s="119">
        <f t="shared" si="1"/>
        <v>200012</v>
      </c>
      <c r="S14" s="115"/>
      <c r="T14" s="118">
        <v>92377</v>
      </c>
      <c r="U14" s="115"/>
      <c r="V14" s="119">
        <f t="shared" si="2"/>
        <v>227</v>
      </c>
      <c r="W14" s="115"/>
      <c r="X14" s="119">
        <f t="shared" si="3"/>
        <v>92150</v>
      </c>
      <c r="Y14" s="116"/>
      <c r="Z14" s="111"/>
    </row>
    <row r="15" spans="1:26">
      <c r="A15" s="110"/>
      <c r="B15" s="114">
        <v>74</v>
      </c>
      <c r="C15" s="195" t="s">
        <v>814</v>
      </c>
      <c r="D15" s="118">
        <v>112</v>
      </c>
      <c r="E15" s="115"/>
      <c r="F15" s="118">
        <v>428545</v>
      </c>
      <c r="G15" s="115"/>
      <c r="H15" s="118">
        <v>310555</v>
      </c>
      <c r="I15" s="115"/>
      <c r="J15" s="118">
        <v>159924</v>
      </c>
      <c r="K15" s="115"/>
      <c r="L15" s="118">
        <v>22993</v>
      </c>
      <c r="M15" s="115"/>
      <c r="N15" s="118">
        <v>6948</v>
      </c>
      <c r="O15" s="115"/>
      <c r="P15" s="119">
        <f t="shared" si="0"/>
        <v>333548</v>
      </c>
      <c r="Q15" s="115"/>
      <c r="R15" s="119">
        <f t="shared" si="1"/>
        <v>166872</v>
      </c>
      <c r="S15" s="115"/>
      <c r="T15" s="118">
        <v>171229</v>
      </c>
      <c r="U15" s="115"/>
      <c r="V15" s="119">
        <f t="shared" si="2"/>
        <v>4553</v>
      </c>
      <c r="W15" s="115"/>
      <c r="X15" s="119">
        <f t="shared" si="3"/>
        <v>166676</v>
      </c>
      <c r="Y15" s="116"/>
      <c r="Z15" s="111"/>
    </row>
    <row r="16" spans="1:26">
      <c r="A16" s="110"/>
      <c r="B16" s="114">
        <v>75</v>
      </c>
      <c r="C16" s="195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>
      <c r="A17" s="110"/>
      <c r="B17" s="114">
        <v>76</v>
      </c>
      <c r="C17" s="195" t="s">
        <v>816</v>
      </c>
      <c r="D17" s="118">
        <v>9</v>
      </c>
      <c r="E17" s="115"/>
      <c r="F17" s="118">
        <v>7790</v>
      </c>
      <c r="G17" s="115"/>
      <c r="H17" s="118">
        <v>4283</v>
      </c>
      <c r="I17" s="115"/>
      <c r="J17" s="118">
        <v>4933</v>
      </c>
      <c r="K17" s="115"/>
      <c r="L17" s="118"/>
      <c r="M17" s="115"/>
      <c r="N17" s="118">
        <v>68</v>
      </c>
      <c r="O17" s="115"/>
      <c r="P17" s="119">
        <f t="shared" si="0"/>
        <v>4283</v>
      </c>
      <c r="Q17" s="115"/>
      <c r="R17" s="119">
        <f t="shared" si="1"/>
        <v>5001</v>
      </c>
      <c r="S17" s="115"/>
      <c r="T17" s="118">
        <v>256</v>
      </c>
      <c r="U17" s="115"/>
      <c r="V17" s="119">
        <f t="shared" si="2"/>
        <v>974</v>
      </c>
      <c r="W17" s="115"/>
      <c r="X17" s="119">
        <f t="shared" si="3"/>
        <v>-718</v>
      </c>
      <c r="Y17" s="116"/>
      <c r="Z17" s="111"/>
    </row>
    <row r="18" spans="1:26">
      <c r="A18" s="110"/>
      <c r="B18" s="114">
        <v>77</v>
      </c>
      <c r="C18" s="195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>
      <c r="A19" s="110"/>
      <c r="B19" s="114">
        <v>78</v>
      </c>
      <c r="C19" s="195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>
      <c r="A20" s="110"/>
      <c r="B20" s="114">
        <v>79</v>
      </c>
      <c r="C20" s="195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>
      <c r="A21" s="110"/>
      <c r="B21" s="114">
        <v>81</v>
      </c>
      <c r="C21" s="195" t="s">
        <v>819</v>
      </c>
      <c r="D21" s="118">
        <v>73</v>
      </c>
      <c r="E21" s="115"/>
      <c r="F21" s="118">
        <v>279098</v>
      </c>
      <c r="G21" s="115"/>
      <c r="H21" s="118">
        <v>211745</v>
      </c>
      <c r="I21" s="115"/>
      <c r="J21" s="118">
        <v>183103</v>
      </c>
      <c r="K21" s="115"/>
      <c r="L21" s="118">
        <v>2677</v>
      </c>
      <c r="M21" s="115"/>
      <c r="N21" s="118">
        <v>8428</v>
      </c>
      <c r="O21" s="115"/>
      <c r="P21" s="119">
        <f t="shared" si="0"/>
        <v>214422</v>
      </c>
      <c r="Q21" s="115"/>
      <c r="R21" s="119">
        <f t="shared" si="1"/>
        <v>191531</v>
      </c>
      <c r="S21" s="115"/>
      <c r="T21" s="118">
        <v>29440</v>
      </c>
      <c r="U21" s="115"/>
      <c r="V21" s="119">
        <f t="shared" si="2"/>
        <v>6549</v>
      </c>
      <c r="W21" s="115"/>
      <c r="X21" s="119">
        <f t="shared" si="3"/>
        <v>22891</v>
      </c>
      <c r="Y21" s="116"/>
      <c r="Z21" s="111"/>
    </row>
    <row r="22" spans="1:26">
      <c r="A22" s="110"/>
      <c r="B22" s="114">
        <v>82</v>
      </c>
      <c r="C22" s="195" t="s">
        <v>722</v>
      </c>
      <c r="D22" s="118">
        <v>20</v>
      </c>
      <c r="E22" s="115"/>
      <c r="F22" s="118">
        <v>34760</v>
      </c>
      <c r="G22" s="115"/>
      <c r="H22" s="118">
        <v>19468</v>
      </c>
      <c r="I22" s="115"/>
      <c r="J22" s="118">
        <v>12777</v>
      </c>
      <c r="K22" s="115"/>
      <c r="L22" s="118">
        <v>1120</v>
      </c>
      <c r="M22" s="115"/>
      <c r="N22" s="118">
        <v>1341</v>
      </c>
      <c r="O22" s="115"/>
      <c r="P22" s="119">
        <f t="shared" si="0"/>
        <v>20588</v>
      </c>
      <c r="Q22" s="115"/>
      <c r="R22" s="119">
        <f t="shared" si="1"/>
        <v>14118</v>
      </c>
      <c r="S22" s="115"/>
      <c r="T22" s="118">
        <v>7431</v>
      </c>
      <c r="U22" s="115"/>
      <c r="V22" s="119">
        <f t="shared" si="2"/>
        <v>961</v>
      </c>
      <c r="W22" s="115"/>
      <c r="X22" s="119">
        <f t="shared" si="3"/>
        <v>6470</v>
      </c>
      <c r="Y22" s="116"/>
      <c r="Z22" s="111"/>
    </row>
    <row r="23" spans="1:26">
      <c r="A23" s="110"/>
      <c r="B23" s="114">
        <v>83</v>
      </c>
      <c r="C23" s="195" t="s">
        <v>723</v>
      </c>
      <c r="D23" s="118">
        <v>1</v>
      </c>
      <c r="E23" s="115"/>
      <c r="F23" s="118">
        <v>850</v>
      </c>
      <c r="G23" s="115"/>
      <c r="H23" s="118">
        <v>482</v>
      </c>
      <c r="I23" s="115"/>
      <c r="J23" s="118">
        <v>38</v>
      </c>
      <c r="K23" s="115"/>
      <c r="L23" s="118"/>
      <c r="M23" s="115"/>
      <c r="N23" s="118"/>
      <c r="O23" s="115"/>
      <c r="P23" s="119">
        <f t="shared" si="0"/>
        <v>482</v>
      </c>
      <c r="Q23" s="115"/>
      <c r="R23" s="119">
        <f t="shared" si="1"/>
        <v>38</v>
      </c>
      <c r="S23" s="115"/>
      <c r="T23" s="118">
        <v>444</v>
      </c>
      <c r="U23" s="115"/>
      <c r="V23" s="119">
        <f t="shared" si="2"/>
        <v>0</v>
      </c>
      <c r="W23" s="115"/>
      <c r="X23" s="119">
        <f t="shared" si="3"/>
        <v>444</v>
      </c>
      <c r="Y23" s="116"/>
      <c r="Z23" s="111"/>
    </row>
    <row r="24" spans="1:26">
      <c r="A24" s="110"/>
      <c r="B24" s="114">
        <v>84</v>
      </c>
      <c r="C24" s="195" t="s">
        <v>724</v>
      </c>
      <c r="D24" s="118">
        <v>3</v>
      </c>
      <c r="E24" s="115"/>
      <c r="F24" s="118">
        <v>29217</v>
      </c>
      <c r="G24" s="115"/>
      <c r="H24" s="118">
        <v>28926</v>
      </c>
      <c r="I24" s="115"/>
      <c r="J24" s="118">
        <v>28650</v>
      </c>
      <c r="K24" s="115"/>
      <c r="L24" s="118"/>
      <c r="M24" s="115"/>
      <c r="N24" s="118"/>
      <c r="O24" s="115"/>
      <c r="P24" s="119">
        <f t="shared" si="0"/>
        <v>28926</v>
      </c>
      <c r="Q24" s="115"/>
      <c r="R24" s="119">
        <f t="shared" si="1"/>
        <v>28650</v>
      </c>
      <c r="S24" s="115"/>
      <c r="T24" s="118">
        <v>276</v>
      </c>
      <c r="U24" s="115"/>
      <c r="V24" s="119">
        <f t="shared" si="2"/>
        <v>0</v>
      </c>
      <c r="W24" s="115"/>
      <c r="X24" s="119">
        <f t="shared" si="3"/>
        <v>276</v>
      </c>
      <c r="Y24" s="116"/>
      <c r="Z24" s="111"/>
    </row>
    <row r="25" spans="1:26">
      <c r="A25" s="110"/>
      <c r="B25" s="114">
        <v>85</v>
      </c>
      <c r="C25" s="195" t="s">
        <v>725</v>
      </c>
      <c r="D25" s="118">
        <v>4</v>
      </c>
      <c r="E25" s="115"/>
      <c r="F25" s="118">
        <v>8890</v>
      </c>
      <c r="G25" s="115"/>
      <c r="H25" s="118">
        <v>7190</v>
      </c>
      <c r="I25" s="115"/>
      <c r="J25" s="118">
        <v>5842</v>
      </c>
      <c r="K25" s="115"/>
      <c r="L25" s="118"/>
      <c r="M25" s="115"/>
      <c r="N25" s="118"/>
      <c r="O25" s="115"/>
      <c r="P25" s="119">
        <f t="shared" si="0"/>
        <v>7190</v>
      </c>
      <c r="Q25" s="115"/>
      <c r="R25" s="119">
        <f t="shared" si="1"/>
        <v>5842</v>
      </c>
      <c r="S25" s="115"/>
      <c r="T25" s="118">
        <v>1354</v>
      </c>
      <c r="U25" s="115"/>
      <c r="V25" s="119">
        <f t="shared" si="2"/>
        <v>6</v>
      </c>
      <c r="W25" s="115"/>
      <c r="X25" s="119">
        <f t="shared" si="3"/>
        <v>1348</v>
      </c>
      <c r="Y25" s="116"/>
      <c r="Z25" s="111"/>
    </row>
    <row r="26" spans="1:26">
      <c r="A26" s="110"/>
      <c r="B26" s="114">
        <v>86</v>
      </c>
      <c r="C26" s="195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>
      <c r="A27" s="110"/>
      <c r="B27" s="114">
        <v>87</v>
      </c>
      <c r="C27" s="195" t="s">
        <v>820</v>
      </c>
      <c r="D27" s="118">
        <v>6</v>
      </c>
      <c r="E27" s="115"/>
      <c r="F27" s="118">
        <v>2598</v>
      </c>
      <c r="G27" s="115"/>
      <c r="H27" s="118">
        <v>1372</v>
      </c>
      <c r="I27" s="115"/>
      <c r="J27" s="118">
        <v>1006</v>
      </c>
      <c r="K27" s="115"/>
      <c r="L27" s="118"/>
      <c r="M27" s="115"/>
      <c r="N27" s="118">
        <v>4</v>
      </c>
      <c r="O27" s="115"/>
      <c r="P27" s="119">
        <f t="shared" si="0"/>
        <v>1372</v>
      </c>
      <c r="Q27" s="115"/>
      <c r="R27" s="119">
        <f t="shared" si="1"/>
        <v>1010</v>
      </c>
      <c r="S27" s="115"/>
      <c r="T27" s="118">
        <v>387</v>
      </c>
      <c r="U27" s="115"/>
      <c r="V27" s="119">
        <f t="shared" si="2"/>
        <v>25</v>
      </c>
      <c r="W27" s="115"/>
      <c r="X27" s="119">
        <f t="shared" si="3"/>
        <v>362</v>
      </c>
      <c r="Y27" s="116"/>
      <c r="Z27" s="111"/>
    </row>
    <row r="28" spans="1:26">
      <c r="A28" s="110"/>
      <c r="B28" s="114">
        <v>91</v>
      </c>
      <c r="C28" s="195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>
      <c r="A29" s="110"/>
      <c r="B29" s="114">
        <v>92</v>
      </c>
      <c r="C29" s="195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>
      <c r="A30" s="110"/>
      <c r="B30" s="114">
        <v>93</v>
      </c>
      <c r="C30" s="195" t="s">
        <v>591</v>
      </c>
      <c r="D30" s="118">
        <v>27</v>
      </c>
      <c r="E30" s="115"/>
      <c r="F30" s="118">
        <v>105044</v>
      </c>
      <c r="G30" s="115"/>
      <c r="H30" s="118">
        <v>94342</v>
      </c>
      <c r="I30" s="115"/>
      <c r="J30" s="118">
        <v>71247</v>
      </c>
      <c r="K30" s="115"/>
      <c r="L30" s="118">
        <v>6325</v>
      </c>
      <c r="M30" s="115"/>
      <c r="N30" s="118">
        <v>3737</v>
      </c>
      <c r="O30" s="115"/>
      <c r="P30" s="119">
        <f t="shared" si="0"/>
        <v>100667</v>
      </c>
      <c r="Q30" s="115"/>
      <c r="R30" s="119">
        <f t="shared" si="1"/>
        <v>74984</v>
      </c>
      <c r="S30" s="115"/>
      <c r="T30" s="118">
        <v>25733</v>
      </c>
      <c r="U30" s="115"/>
      <c r="V30" s="119">
        <f t="shared" si="2"/>
        <v>50</v>
      </c>
      <c r="W30" s="115"/>
      <c r="X30" s="119">
        <f t="shared" si="3"/>
        <v>25683</v>
      </c>
      <c r="Y30" s="116"/>
      <c r="Z30" s="111"/>
    </row>
    <row r="31" spans="1:26">
      <c r="A31" s="110"/>
      <c r="B31" s="114">
        <v>94</v>
      </c>
      <c r="C31" s="195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>
      <c r="A32" s="110"/>
      <c r="B32" s="114">
        <v>95</v>
      </c>
      <c r="C32" s="195" t="s">
        <v>821</v>
      </c>
      <c r="D32" s="118"/>
      <c r="E32" s="115"/>
      <c r="F32" s="118"/>
      <c r="G32" s="115"/>
      <c r="H32" s="118">
        <v>0</v>
      </c>
      <c r="I32" s="115"/>
      <c r="J32" s="177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>
      <c r="A33" s="110"/>
      <c r="B33" s="114">
        <v>96</v>
      </c>
      <c r="C33" s="195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>
      <c r="A34" s="110"/>
      <c r="B34" s="114">
        <v>97</v>
      </c>
      <c r="C34" s="195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>
      <c r="A35" s="110"/>
      <c r="B35" s="114">
        <v>98</v>
      </c>
      <c r="C35" s="195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>
      <c r="A36" s="110"/>
      <c r="B36" s="114">
        <v>99</v>
      </c>
      <c r="C36" s="195" t="s">
        <v>825</v>
      </c>
      <c r="D36" s="118">
        <v>1</v>
      </c>
      <c r="E36" s="115"/>
      <c r="F36" s="118">
        <v>2332</v>
      </c>
      <c r="G36" s="115"/>
      <c r="H36" s="118">
        <v>2332</v>
      </c>
      <c r="I36" s="115"/>
      <c r="J36" s="118">
        <v>0</v>
      </c>
      <c r="K36" s="115"/>
      <c r="L36" s="118">
        <v>-130</v>
      </c>
      <c r="M36" s="115"/>
      <c r="N36" s="118"/>
      <c r="O36" s="115"/>
      <c r="P36" s="119">
        <f t="shared" si="0"/>
        <v>2202</v>
      </c>
      <c r="Q36" s="115"/>
      <c r="R36" s="119">
        <f t="shared" si="1"/>
        <v>0</v>
      </c>
      <c r="S36" s="115"/>
      <c r="T36" s="118">
        <v>2202</v>
      </c>
      <c r="U36" s="115"/>
      <c r="V36" s="119">
        <f t="shared" si="2"/>
        <v>0</v>
      </c>
      <c r="W36" s="115"/>
      <c r="X36" s="119">
        <f t="shared" si="3"/>
        <v>2202</v>
      </c>
      <c r="Y36" s="116"/>
      <c r="Z36" s="111"/>
    </row>
    <row r="37" spans="1:26" ht="13.5" thickBot="1">
      <c r="A37" s="110"/>
      <c r="B37" s="114"/>
      <c r="C37" s="115" t="s">
        <v>767</v>
      </c>
      <c r="D37" s="124">
        <f>SUM(D8:D36)</f>
        <v>316</v>
      </c>
      <c r="E37" s="115"/>
      <c r="F37" s="218">
        <f>SUM(F8:F36)</f>
        <v>1231737</v>
      </c>
      <c r="G37" s="115"/>
      <c r="H37" s="218">
        <f>SUM(H8:H36)</f>
        <v>991881</v>
      </c>
      <c r="I37" s="115"/>
      <c r="J37" s="218">
        <f>SUM(J8:J36)</f>
        <v>675879</v>
      </c>
      <c r="K37" s="115"/>
      <c r="L37" s="218">
        <f>SUM(L8:L36)</f>
        <v>37404</v>
      </c>
      <c r="M37" s="115"/>
      <c r="N37" s="218">
        <f>SUM(N8:N36)</f>
        <v>26036</v>
      </c>
      <c r="O37" s="115"/>
      <c r="P37" s="218">
        <f>SUM(P8:P36)</f>
        <v>1029285</v>
      </c>
      <c r="Q37" s="115"/>
      <c r="R37" s="218">
        <f>SUM(R8:R36)</f>
        <v>701915</v>
      </c>
      <c r="S37" s="115"/>
      <c r="T37" s="218">
        <f>SUM(T8:T36)</f>
        <v>340769</v>
      </c>
      <c r="U37" s="115"/>
      <c r="V37" s="218">
        <f>SUM(V8:V36)</f>
        <v>13399</v>
      </c>
      <c r="W37" s="115"/>
      <c r="X37" s="218">
        <f>SUM(X8:X36)</f>
        <v>327370</v>
      </c>
      <c r="Y37" s="116"/>
      <c r="Z37" s="111"/>
    </row>
    <row r="38" spans="1:26" ht="13.5" thickTop="1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9"/>
      <c r="Z39" s="111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/>
    <row r="305" spans="2:25" ht="18">
      <c r="B305" s="181">
        <f t="shared" ref="B305:Q320" si="4">B1</f>
        <v>0</v>
      </c>
      <c r="C305" s="181">
        <f t="shared" si="4"/>
        <v>0</v>
      </c>
      <c r="D305" s="181">
        <f t="shared" si="4"/>
        <v>0</v>
      </c>
      <c r="E305" s="637" t="str">
        <f t="shared" si="4"/>
        <v>עיריית בת-ים</v>
      </c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>
      <c r="B306" s="181">
        <f t="shared" si="4"/>
        <v>0</v>
      </c>
      <c r="C306" s="181">
        <f t="shared" si="4"/>
        <v>0</v>
      </c>
      <c r="D306" s="181">
        <f t="shared" si="4"/>
        <v>0</v>
      </c>
      <c r="E306" s="637" t="str">
        <f t="shared" si="4"/>
        <v>ריכוז תב"רים לפי פרקי תקציב באלפי ₪</v>
      </c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>
      <c r="B307" s="181">
        <f t="shared" si="4"/>
        <v>0</v>
      </c>
      <c r="C307" s="181">
        <f t="shared" si="4"/>
        <v>0</v>
      </c>
      <c r="D307" s="181">
        <f t="shared" si="4"/>
        <v>0</v>
      </c>
      <c r="E307" s="637" t="str">
        <f t="shared" si="4"/>
        <v>לתקופה: רבעון 1, שנת 2021</v>
      </c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>
      <c r="B308" s="219">
        <f t="shared" si="4"/>
        <v>0</v>
      </c>
      <c r="C308" s="219">
        <f t="shared" si="4"/>
        <v>0</v>
      </c>
      <c r="D308" s="219">
        <f t="shared" si="4"/>
        <v>0</v>
      </c>
      <c r="E308" s="219">
        <f t="shared" si="4"/>
        <v>0</v>
      </c>
      <c r="F308" s="219">
        <f t="shared" si="4"/>
        <v>0</v>
      </c>
      <c r="G308" s="219">
        <f t="shared" si="4"/>
        <v>0</v>
      </c>
      <c r="H308" s="219">
        <f t="shared" si="4"/>
        <v>0</v>
      </c>
      <c r="I308" s="219">
        <f t="shared" si="4"/>
        <v>0</v>
      </c>
      <c r="J308" s="219">
        <f t="shared" si="4"/>
        <v>0</v>
      </c>
      <c r="K308" s="219">
        <f t="shared" si="4"/>
        <v>0</v>
      </c>
      <c r="L308" s="219">
        <f t="shared" si="4"/>
        <v>0</v>
      </c>
      <c r="M308" s="219">
        <f t="shared" si="4"/>
        <v>0</v>
      </c>
      <c r="N308" s="219">
        <f t="shared" si="4"/>
        <v>0</v>
      </c>
      <c r="O308" s="219">
        <f t="shared" si="4"/>
        <v>0</v>
      </c>
      <c r="P308" s="219">
        <f t="shared" si="4"/>
        <v>0</v>
      </c>
      <c r="Q308" s="219">
        <f t="shared" si="4"/>
        <v>0</v>
      </c>
      <c r="R308" s="219">
        <f t="shared" ref="R308:T320" si="6">R4</f>
        <v>0</v>
      </c>
      <c r="S308" s="219">
        <f t="shared" si="6"/>
        <v>0</v>
      </c>
      <c r="T308" s="219">
        <f t="shared" si="6"/>
        <v>0</v>
      </c>
      <c r="U308" s="219">
        <f t="shared" si="5"/>
        <v>0</v>
      </c>
      <c r="V308" s="219">
        <f t="shared" si="5"/>
        <v>0</v>
      </c>
      <c r="W308" s="219">
        <f t="shared" si="5"/>
        <v>0</v>
      </c>
      <c r="X308" s="219">
        <f t="shared" si="5"/>
        <v>0</v>
      </c>
      <c r="Y308" s="219">
        <f t="shared" si="5"/>
        <v>0</v>
      </c>
    </row>
    <row r="309" spans="2:25">
      <c r="B309" s="219">
        <f t="shared" si="4"/>
        <v>0</v>
      </c>
      <c r="C309" s="219">
        <f t="shared" si="4"/>
        <v>0</v>
      </c>
      <c r="D309" s="219">
        <f t="shared" si="4"/>
        <v>0</v>
      </c>
      <c r="E309" s="219">
        <f t="shared" si="4"/>
        <v>0</v>
      </c>
      <c r="F309" s="219">
        <f t="shared" si="4"/>
        <v>0</v>
      </c>
      <c r="G309" s="219">
        <f t="shared" si="4"/>
        <v>0</v>
      </c>
      <c r="H309" s="219">
        <f t="shared" si="4"/>
        <v>0</v>
      </c>
      <c r="I309" s="219">
        <f t="shared" si="4"/>
        <v>0</v>
      </c>
      <c r="J309" s="219">
        <f t="shared" si="4"/>
        <v>0</v>
      </c>
      <c r="K309" s="219">
        <f t="shared" si="4"/>
        <v>0</v>
      </c>
      <c r="L309" s="219">
        <f t="shared" si="4"/>
        <v>0</v>
      </c>
      <c r="M309" s="219">
        <f t="shared" si="4"/>
        <v>0</v>
      </c>
      <c r="N309" s="219">
        <f t="shared" si="4"/>
        <v>0</v>
      </c>
      <c r="O309" s="219">
        <f t="shared" si="4"/>
        <v>0</v>
      </c>
      <c r="P309" s="219">
        <f t="shared" si="4"/>
        <v>0</v>
      </c>
      <c r="Q309" s="219">
        <f t="shared" si="4"/>
        <v>0</v>
      </c>
      <c r="R309" s="219">
        <f t="shared" si="6"/>
        <v>0</v>
      </c>
      <c r="S309" s="219">
        <f t="shared" si="6"/>
        <v>0</v>
      </c>
      <c r="T309" s="219">
        <f t="shared" si="6"/>
        <v>0</v>
      </c>
      <c r="U309" s="219">
        <f t="shared" si="5"/>
        <v>0</v>
      </c>
      <c r="V309" s="219">
        <f t="shared" si="5"/>
        <v>0</v>
      </c>
      <c r="W309" s="219">
        <f t="shared" si="5"/>
        <v>0</v>
      </c>
      <c r="X309" s="219">
        <f t="shared" si="5"/>
        <v>0</v>
      </c>
      <c r="Y309" s="219">
        <f t="shared" si="5"/>
        <v>0</v>
      </c>
    </row>
    <row r="310" spans="2:25" ht="38.25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>
      <c r="B312" s="132">
        <f t="shared" si="4"/>
        <v>61</v>
      </c>
      <c r="C312" s="202" t="str">
        <f t="shared" si="4"/>
        <v>מנהל כללי</v>
      </c>
      <c r="D312" s="183">
        <f t="shared" si="4"/>
        <v>0</v>
      </c>
      <c r="E312" s="133">
        <f t="shared" si="4"/>
        <v>0</v>
      </c>
      <c r="F312" s="183">
        <f t="shared" si="4"/>
        <v>0</v>
      </c>
      <c r="G312" s="133">
        <f t="shared" si="4"/>
        <v>0</v>
      </c>
      <c r="H312" s="183">
        <f t="shared" si="4"/>
        <v>0</v>
      </c>
      <c r="I312" s="133">
        <f t="shared" si="4"/>
        <v>0</v>
      </c>
      <c r="J312" s="183">
        <f t="shared" si="4"/>
        <v>0</v>
      </c>
      <c r="K312" s="133">
        <f t="shared" si="4"/>
        <v>0</v>
      </c>
      <c r="L312" s="183">
        <f t="shared" si="4"/>
        <v>0</v>
      </c>
      <c r="M312" s="133">
        <f t="shared" si="4"/>
        <v>0</v>
      </c>
      <c r="N312" s="183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3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>
      <c r="B313" s="132">
        <f t="shared" si="4"/>
        <v>62</v>
      </c>
      <c r="C313" s="202" t="str">
        <f t="shared" si="4"/>
        <v>מנהל כספי</v>
      </c>
      <c r="D313" s="184">
        <f t="shared" si="4"/>
        <v>0</v>
      </c>
      <c r="E313" s="133">
        <f t="shared" si="4"/>
        <v>0</v>
      </c>
      <c r="F313" s="184">
        <f t="shared" si="4"/>
        <v>0</v>
      </c>
      <c r="G313" s="133">
        <f t="shared" si="4"/>
        <v>0</v>
      </c>
      <c r="H313" s="184">
        <f t="shared" si="4"/>
        <v>0</v>
      </c>
      <c r="I313" s="133">
        <f t="shared" si="4"/>
        <v>0</v>
      </c>
      <c r="J313" s="184">
        <f t="shared" si="4"/>
        <v>0</v>
      </c>
      <c r="K313" s="133">
        <f t="shared" si="4"/>
        <v>0</v>
      </c>
      <c r="L313" s="184">
        <f t="shared" si="4"/>
        <v>0</v>
      </c>
      <c r="M313" s="133">
        <f t="shared" si="4"/>
        <v>0</v>
      </c>
      <c r="N313" s="184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4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>
      <c r="B314" s="132">
        <f t="shared" si="4"/>
        <v>63</v>
      </c>
      <c r="C314" s="202" t="str">
        <f t="shared" si="4"/>
        <v>הוצאות מימון</v>
      </c>
      <c r="D314" s="184">
        <f t="shared" si="4"/>
        <v>0</v>
      </c>
      <c r="E314" s="133">
        <f t="shared" si="4"/>
        <v>0</v>
      </c>
      <c r="F314" s="184">
        <f t="shared" si="4"/>
        <v>0</v>
      </c>
      <c r="G314" s="133">
        <f t="shared" si="4"/>
        <v>0</v>
      </c>
      <c r="H314" s="184">
        <f t="shared" si="4"/>
        <v>0</v>
      </c>
      <c r="I314" s="133">
        <f t="shared" si="4"/>
        <v>0</v>
      </c>
      <c r="J314" s="184">
        <f t="shared" si="4"/>
        <v>0</v>
      </c>
      <c r="K314" s="133">
        <f t="shared" si="4"/>
        <v>0</v>
      </c>
      <c r="L314" s="184">
        <f t="shared" si="4"/>
        <v>0</v>
      </c>
      <c r="M314" s="133">
        <f t="shared" si="4"/>
        <v>0</v>
      </c>
      <c r="N314" s="184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4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>
      <c r="B315" s="132">
        <f t="shared" si="4"/>
        <v>64</v>
      </c>
      <c r="C315" s="202" t="str">
        <f t="shared" si="4"/>
        <v>פרעון מלוות</v>
      </c>
      <c r="D315" s="184">
        <f t="shared" si="4"/>
        <v>0</v>
      </c>
      <c r="E315" s="133">
        <f t="shared" si="4"/>
        <v>0</v>
      </c>
      <c r="F315" s="184">
        <f t="shared" si="4"/>
        <v>0</v>
      </c>
      <c r="G315" s="133">
        <f t="shared" si="4"/>
        <v>0</v>
      </c>
      <c r="H315" s="184">
        <f t="shared" si="4"/>
        <v>0</v>
      </c>
      <c r="I315" s="133">
        <f t="shared" si="4"/>
        <v>0</v>
      </c>
      <c r="J315" s="184">
        <f t="shared" si="4"/>
        <v>0</v>
      </c>
      <c r="K315" s="133">
        <f t="shared" si="4"/>
        <v>0</v>
      </c>
      <c r="L315" s="184">
        <f t="shared" si="4"/>
        <v>0</v>
      </c>
      <c r="M315" s="133">
        <f t="shared" si="4"/>
        <v>0</v>
      </c>
      <c r="N315" s="184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4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>
      <c r="B316" s="132">
        <f t="shared" si="4"/>
        <v>71</v>
      </c>
      <c r="C316" s="202" t="str">
        <f t="shared" si="4"/>
        <v>תברואה</v>
      </c>
      <c r="D316" s="184">
        <f t="shared" si="4"/>
        <v>17</v>
      </c>
      <c r="E316" s="133">
        <f t="shared" si="4"/>
        <v>0</v>
      </c>
      <c r="F316" s="184">
        <f t="shared" si="4"/>
        <v>25642</v>
      </c>
      <c r="G316" s="133">
        <f t="shared" si="4"/>
        <v>0</v>
      </c>
      <c r="H316" s="184">
        <f t="shared" si="4"/>
        <v>18404</v>
      </c>
      <c r="I316" s="133">
        <f t="shared" si="4"/>
        <v>0</v>
      </c>
      <c r="J316" s="184">
        <f t="shared" si="4"/>
        <v>12823</v>
      </c>
      <c r="K316" s="133">
        <f t="shared" si="4"/>
        <v>0</v>
      </c>
      <c r="L316" s="184">
        <f t="shared" si="4"/>
        <v>3214</v>
      </c>
      <c r="M316" s="133">
        <f t="shared" si="4"/>
        <v>0</v>
      </c>
      <c r="N316" s="184">
        <f t="shared" si="4"/>
        <v>218</v>
      </c>
      <c r="O316" s="133">
        <f t="shared" si="4"/>
        <v>0</v>
      </c>
      <c r="P316" s="140">
        <f t="shared" si="4"/>
        <v>21618</v>
      </c>
      <c r="Q316" s="133">
        <f t="shared" si="4"/>
        <v>0</v>
      </c>
      <c r="R316" s="140">
        <f t="shared" si="6"/>
        <v>13041</v>
      </c>
      <c r="S316" s="133">
        <f t="shared" si="6"/>
        <v>0</v>
      </c>
      <c r="T316" s="184">
        <f t="shared" si="6"/>
        <v>8632</v>
      </c>
      <c r="U316" s="133">
        <f t="shared" si="5"/>
        <v>0</v>
      </c>
      <c r="V316" s="140">
        <f t="shared" si="5"/>
        <v>55</v>
      </c>
      <c r="W316" s="133">
        <f t="shared" si="5"/>
        <v>0</v>
      </c>
      <c r="X316" s="140">
        <f t="shared" si="5"/>
        <v>8577</v>
      </c>
      <c r="Y316" s="134">
        <f t="shared" si="5"/>
        <v>0</v>
      </c>
    </row>
    <row r="317" spans="2:25">
      <c r="B317" s="132">
        <f t="shared" si="4"/>
        <v>72</v>
      </c>
      <c r="C317" s="202" t="str">
        <f t="shared" si="4"/>
        <v>שמירה ובטחון</v>
      </c>
      <c r="D317" s="184">
        <f t="shared" si="4"/>
        <v>4</v>
      </c>
      <c r="E317" s="133">
        <f t="shared" si="4"/>
        <v>0</v>
      </c>
      <c r="F317" s="184">
        <f t="shared" si="4"/>
        <v>1850</v>
      </c>
      <c r="G317" s="133">
        <f t="shared" si="4"/>
        <v>0</v>
      </c>
      <c r="H317" s="184">
        <f t="shared" si="4"/>
        <v>1750</v>
      </c>
      <c r="I317" s="133">
        <f t="shared" si="4"/>
        <v>0</v>
      </c>
      <c r="J317" s="184">
        <f t="shared" si="4"/>
        <v>723</v>
      </c>
      <c r="K317" s="133">
        <f t="shared" si="4"/>
        <v>0</v>
      </c>
      <c r="L317" s="184">
        <f t="shared" si="4"/>
        <v>75</v>
      </c>
      <c r="M317" s="133">
        <f t="shared" si="4"/>
        <v>0</v>
      </c>
      <c r="N317" s="184">
        <f t="shared" si="4"/>
        <v>93</v>
      </c>
      <c r="O317" s="133">
        <f t="shared" si="4"/>
        <v>0</v>
      </c>
      <c r="P317" s="140">
        <f t="shared" si="4"/>
        <v>1825</v>
      </c>
      <c r="Q317" s="133">
        <f t="shared" si="4"/>
        <v>0</v>
      </c>
      <c r="R317" s="140">
        <f t="shared" si="6"/>
        <v>816</v>
      </c>
      <c r="S317" s="133">
        <f t="shared" si="6"/>
        <v>0</v>
      </c>
      <c r="T317" s="184">
        <f t="shared" si="6"/>
        <v>1008</v>
      </c>
      <c r="U317" s="133">
        <f t="shared" si="5"/>
        <v>0</v>
      </c>
      <c r="V317" s="140">
        <f t="shared" si="5"/>
        <v>-1</v>
      </c>
      <c r="W317" s="133">
        <f t="shared" si="5"/>
        <v>0</v>
      </c>
      <c r="X317" s="140">
        <f t="shared" si="5"/>
        <v>1009</v>
      </c>
      <c r="Y317" s="134">
        <f t="shared" si="5"/>
        <v>0</v>
      </c>
    </row>
    <row r="318" spans="2:25">
      <c r="B318" s="132">
        <f t="shared" si="4"/>
        <v>73</v>
      </c>
      <c r="C318" s="202" t="str">
        <f t="shared" si="4"/>
        <v>תכנון ובנין</v>
      </c>
      <c r="D318" s="184">
        <f t="shared" si="4"/>
        <v>39</v>
      </c>
      <c r="E318" s="133">
        <f t="shared" si="4"/>
        <v>0</v>
      </c>
      <c r="F318" s="184">
        <f t="shared" si="4"/>
        <v>305121</v>
      </c>
      <c r="G318" s="133">
        <f t="shared" si="4"/>
        <v>0</v>
      </c>
      <c r="H318" s="184">
        <f t="shared" si="4"/>
        <v>291032</v>
      </c>
      <c r="I318" s="133">
        <f t="shared" si="4"/>
        <v>0</v>
      </c>
      <c r="J318" s="184">
        <f t="shared" si="4"/>
        <v>194813</v>
      </c>
      <c r="K318" s="133">
        <f t="shared" si="4"/>
        <v>0</v>
      </c>
      <c r="L318" s="184">
        <f t="shared" si="4"/>
        <v>1130</v>
      </c>
      <c r="M318" s="133">
        <f t="shared" si="4"/>
        <v>0</v>
      </c>
      <c r="N318" s="184">
        <f t="shared" si="4"/>
        <v>5199</v>
      </c>
      <c r="O318" s="133">
        <f t="shared" si="4"/>
        <v>0</v>
      </c>
      <c r="P318" s="140">
        <f t="shared" si="4"/>
        <v>292162</v>
      </c>
      <c r="Q318" s="133">
        <f t="shared" si="4"/>
        <v>0</v>
      </c>
      <c r="R318" s="140">
        <f t="shared" si="6"/>
        <v>200012</v>
      </c>
      <c r="S318" s="133">
        <f t="shared" si="6"/>
        <v>0</v>
      </c>
      <c r="T318" s="184">
        <f t="shared" si="6"/>
        <v>92377</v>
      </c>
      <c r="U318" s="133">
        <f t="shared" si="5"/>
        <v>0</v>
      </c>
      <c r="V318" s="140">
        <f t="shared" si="5"/>
        <v>227</v>
      </c>
      <c r="W318" s="133">
        <f t="shared" si="5"/>
        <v>0</v>
      </c>
      <c r="X318" s="140">
        <f t="shared" si="5"/>
        <v>92150</v>
      </c>
      <c r="Y318" s="134">
        <f t="shared" si="5"/>
        <v>0</v>
      </c>
    </row>
    <row r="319" spans="2:25">
      <c r="B319" s="132">
        <f t="shared" si="4"/>
        <v>74</v>
      </c>
      <c r="C319" s="202" t="str">
        <f t="shared" si="4"/>
        <v>נכסים צבוריים</v>
      </c>
      <c r="D319" s="184">
        <f t="shared" si="4"/>
        <v>112</v>
      </c>
      <c r="E319" s="133">
        <f t="shared" si="4"/>
        <v>0</v>
      </c>
      <c r="F319" s="184">
        <f t="shared" si="4"/>
        <v>428545</v>
      </c>
      <c r="G319" s="133">
        <f t="shared" si="4"/>
        <v>0</v>
      </c>
      <c r="H319" s="184">
        <f t="shared" si="4"/>
        <v>310555</v>
      </c>
      <c r="I319" s="133">
        <f t="shared" si="4"/>
        <v>0</v>
      </c>
      <c r="J319" s="184">
        <f t="shared" si="4"/>
        <v>159924</v>
      </c>
      <c r="K319" s="133">
        <f t="shared" si="4"/>
        <v>0</v>
      </c>
      <c r="L319" s="184">
        <f t="shared" si="4"/>
        <v>22993</v>
      </c>
      <c r="M319" s="133">
        <f t="shared" si="4"/>
        <v>0</v>
      </c>
      <c r="N319" s="184">
        <f t="shared" si="4"/>
        <v>6948</v>
      </c>
      <c r="O319" s="133">
        <f t="shared" si="4"/>
        <v>0</v>
      </c>
      <c r="P319" s="140">
        <f t="shared" si="4"/>
        <v>333548</v>
      </c>
      <c r="Q319" s="133">
        <f t="shared" si="4"/>
        <v>0</v>
      </c>
      <c r="R319" s="140">
        <f t="shared" si="6"/>
        <v>166872</v>
      </c>
      <c r="S319" s="133">
        <f t="shared" si="6"/>
        <v>0</v>
      </c>
      <c r="T319" s="184">
        <f t="shared" si="6"/>
        <v>171229</v>
      </c>
      <c r="U319" s="133">
        <f t="shared" si="5"/>
        <v>0</v>
      </c>
      <c r="V319" s="140">
        <f t="shared" si="5"/>
        <v>4553</v>
      </c>
      <c r="W319" s="133">
        <f t="shared" si="5"/>
        <v>0</v>
      </c>
      <c r="X319" s="140">
        <f t="shared" si="5"/>
        <v>166676</v>
      </c>
      <c r="Y319" s="134">
        <f t="shared" si="5"/>
        <v>0</v>
      </c>
    </row>
    <row r="320" spans="2:25">
      <c r="B320" s="132">
        <f t="shared" si="4"/>
        <v>75</v>
      </c>
      <c r="C320" s="202" t="str">
        <f t="shared" si="4"/>
        <v>חגיגות וארועים</v>
      </c>
      <c r="D320" s="184">
        <f t="shared" si="4"/>
        <v>0</v>
      </c>
      <c r="E320" s="133">
        <f t="shared" si="4"/>
        <v>0</v>
      </c>
      <c r="F320" s="184">
        <f t="shared" si="4"/>
        <v>0</v>
      </c>
      <c r="G320" s="133">
        <f t="shared" si="4"/>
        <v>0</v>
      </c>
      <c r="H320" s="184">
        <f t="shared" si="4"/>
        <v>0</v>
      </c>
      <c r="I320" s="133">
        <f t="shared" si="4"/>
        <v>0</v>
      </c>
      <c r="J320" s="184">
        <f t="shared" si="4"/>
        <v>0</v>
      </c>
      <c r="K320" s="133">
        <f t="shared" si="4"/>
        <v>0</v>
      </c>
      <c r="L320" s="184">
        <f t="shared" si="4"/>
        <v>0</v>
      </c>
      <c r="M320" s="133">
        <f t="shared" si="4"/>
        <v>0</v>
      </c>
      <c r="N320" s="184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4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>
      <c r="B321" s="132">
        <f t="shared" ref="B321:Y331" si="7">B17</f>
        <v>76</v>
      </c>
      <c r="C321" s="202" t="str">
        <f t="shared" si="7"/>
        <v>שונות והשתתפויות</v>
      </c>
      <c r="D321" s="184">
        <f t="shared" si="7"/>
        <v>9</v>
      </c>
      <c r="E321" s="133">
        <f t="shared" si="7"/>
        <v>0</v>
      </c>
      <c r="F321" s="184">
        <f t="shared" si="7"/>
        <v>7790</v>
      </c>
      <c r="G321" s="133">
        <f t="shared" si="7"/>
        <v>0</v>
      </c>
      <c r="H321" s="184">
        <f t="shared" si="7"/>
        <v>4283</v>
      </c>
      <c r="I321" s="133">
        <f t="shared" si="7"/>
        <v>0</v>
      </c>
      <c r="J321" s="184">
        <f t="shared" si="7"/>
        <v>4933</v>
      </c>
      <c r="K321" s="133">
        <f t="shared" si="7"/>
        <v>0</v>
      </c>
      <c r="L321" s="184">
        <f t="shared" si="7"/>
        <v>0</v>
      </c>
      <c r="M321" s="133">
        <f t="shared" si="7"/>
        <v>0</v>
      </c>
      <c r="N321" s="184">
        <f t="shared" si="7"/>
        <v>68</v>
      </c>
      <c r="O321" s="133">
        <f t="shared" si="7"/>
        <v>0</v>
      </c>
      <c r="P321" s="140">
        <f t="shared" si="7"/>
        <v>4283</v>
      </c>
      <c r="Q321" s="133">
        <f t="shared" si="7"/>
        <v>0</v>
      </c>
      <c r="R321" s="140">
        <f t="shared" si="7"/>
        <v>5001</v>
      </c>
      <c r="S321" s="133">
        <f t="shared" si="7"/>
        <v>0</v>
      </c>
      <c r="T321" s="184">
        <f t="shared" si="7"/>
        <v>256</v>
      </c>
      <c r="U321" s="133">
        <f t="shared" si="7"/>
        <v>0</v>
      </c>
      <c r="V321" s="140">
        <f t="shared" si="7"/>
        <v>974</v>
      </c>
      <c r="W321" s="133">
        <f t="shared" si="7"/>
        <v>0</v>
      </c>
      <c r="X321" s="140">
        <f t="shared" si="7"/>
        <v>-718</v>
      </c>
      <c r="Y321" s="134">
        <f t="shared" si="7"/>
        <v>0</v>
      </c>
    </row>
    <row r="322" spans="2:25">
      <c r="B322" s="132">
        <f t="shared" si="7"/>
        <v>77</v>
      </c>
      <c r="C322" s="202" t="str">
        <f t="shared" si="7"/>
        <v xml:space="preserve">כלכלה ותיירות </v>
      </c>
      <c r="D322" s="184">
        <f t="shared" si="7"/>
        <v>0</v>
      </c>
      <c r="E322" s="133">
        <f t="shared" si="7"/>
        <v>0</v>
      </c>
      <c r="F322" s="184">
        <f t="shared" si="7"/>
        <v>0</v>
      </c>
      <c r="G322" s="133">
        <f t="shared" si="7"/>
        <v>0</v>
      </c>
      <c r="H322" s="184">
        <f t="shared" si="7"/>
        <v>0</v>
      </c>
      <c r="I322" s="133">
        <f t="shared" si="7"/>
        <v>0</v>
      </c>
      <c r="J322" s="184">
        <f t="shared" si="7"/>
        <v>0</v>
      </c>
      <c r="K322" s="133">
        <f t="shared" si="7"/>
        <v>0</v>
      </c>
      <c r="L322" s="184">
        <f t="shared" si="7"/>
        <v>0</v>
      </c>
      <c r="M322" s="133">
        <f t="shared" si="7"/>
        <v>0</v>
      </c>
      <c r="N322" s="184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4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>
      <c r="B323" s="132">
        <f t="shared" si="7"/>
        <v>78</v>
      </c>
      <c r="C323" s="202" t="str">
        <f t="shared" si="7"/>
        <v>פיקוח עירוני</v>
      </c>
      <c r="D323" s="184">
        <f t="shared" si="7"/>
        <v>0</v>
      </c>
      <c r="E323" s="133">
        <f t="shared" si="7"/>
        <v>0</v>
      </c>
      <c r="F323" s="184">
        <f t="shared" si="7"/>
        <v>0</v>
      </c>
      <c r="G323" s="133">
        <f t="shared" si="7"/>
        <v>0</v>
      </c>
      <c r="H323" s="184">
        <f t="shared" si="7"/>
        <v>0</v>
      </c>
      <c r="I323" s="133">
        <f t="shared" si="7"/>
        <v>0</v>
      </c>
      <c r="J323" s="184">
        <f t="shared" si="7"/>
        <v>0</v>
      </c>
      <c r="K323" s="133">
        <f t="shared" si="7"/>
        <v>0</v>
      </c>
      <c r="L323" s="184">
        <f t="shared" si="7"/>
        <v>0</v>
      </c>
      <c r="M323" s="133">
        <f t="shared" si="7"/>
        <v>0</v>
      </c>
      <c r="N323" s="184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4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>
      <c r="B324" s="132">
        <f t="shared" si="7"/>
        <v>79</v>
      </c>
      <c r="C324" s="202" t="str">
        <f t="shared" si="7"/>
        <v>שרותים חקלאיים</v>
      </c>
      <c r="D324" s="184">
        <f t="shared" si="7"/>
        <v>0</v>
      </c>
      <c r="E324" s="133">
        <f t="shared" si="7"/>
        <v>0</v>
      </c>
      <c r="F324" s="184">
        <f t="shared" si="7"/>
        <v>0</v>
      </c>
      <c r="G324" s="133">
        <f t="shared" si="7"/>
        <v>0</v>
      </c>
      <c r="H324" s="184">
        <f t="shared" si="7"/>
        <v>0</v>
      </c>
      <c r="I324" s="133">
        <f t="shared" si="7"/>
        <v>0</v>
      </c>
      <c r="J324" s="184">
        <f t="shared" si="7"/>
        <v>0</v>
      </c>
      <c r="K324" s="133">
        <f t="shared" si="7"/>
        <v>0</v>
      </c>
      <c r="L324" s="184">
        <f t="shared" si="7"/>
        <v>0</v>
      </c>
      <c r="M324" s="133">
        <f t="shared" si="7"/>
        <v>0</v>
      </c>
      <c r="N324" s="184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4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>
      <c r="B325" s="132">
        <f t="shared" si="7"/>
        <v>81</v>
      </c>
      <c r="C325" s="202" t="str">
        <f t="shared" si="7"/>
        <v xml:space="preserve">חינוך </v>
      </c>
      <c r="D325" s="184">
        <f t="shared" si="7"/>
        <v>73</v>
      </c>
      <c r="E325" s="133">
        <f t="shared" si="7"/>
        <v>0</v>
      </c>
      <c r="F325" s="184">
        <f t="shared" si="7"/>
        <v>279098</v>
      </c>
      <c r="G325" s="133">
        <f t="shared" si="7"/>
        <v>0</v>
      </c>
      <c r="H325" s="184">
        <f t="shared" si="7"/>
        <v>211745</v>
      </c>
      <c r="I325" s="133">
        <f t="shared" si="7"/>
        <v>0</v>
      </c>
      <c r="J325" s="184">
        <f t="shared" si="7"/>
        <v>183103</v>
      </c>
      <c r="K325" s="133">
        <f t="shared" si="7"/>
        <v>0</v>
      </c>
      <c r="L325" s="184">
        <f t="shared" si="7"/>
        <v>2677</v>
      </c>
      <c r="M325" s="133">
        <f t="shared" si="7"/>
        <v>0</v>
      </c>
      <c r="N325" s="184">
        <f t="shared" si="7"/>
        <v>8428</v>
      </c>
      <c r="O325" s="133">
        <f t="shared" si="7"/>
        <v>0</v>
      </c>
      <c r="P325" s="140">
        <f t="shared" si="7"/>
        <v>214422</v>
      </c>
      <c r="Q325" s="133">
        <f t="shared" si="7"/>
        <v>0</v>
      </c>
      <c r="R325" s="140">
        <f t="shared" si="7"/>
        <v>191531</v>
      </c>
      <c r="S325" s="133">
        <f t="shared" si="7"/>
        <v>0</v>
      </c>
      <c r="T325" s="184">
        <f t="shared" si="7"/>
        <v>29440</v>
      </c>
      <c r="U325" s="133">
        <f t="shared" si="7"/>
        <v>0</v>
      </c>
      <c r="V325" s="140">
        <f t="shared" si="7"/>
        <v>6549</v>
      </c>
      <c r="W325" s="133">
        <f t="shared" si="7"/>
        <v>0</v>
      </c>
      <c r="X325" s="140">
        <f t="shared" si="7"/>
        <v>22891</v>
      </c>
      <c r="Y325" s="134">
        <f t="shared" si="7"/>
        <v>0</v>
      </c>
    </row>
    <row r="326" spans="2:25">
      <c r="B326" s="132">
        <f t="shared" si="7"/>
        <v>82</v>
      </c>
      <c r="C326" s="202" t="str">
        <f t="shared" si="7"/>
        <v>תרבות</v>
      </c>
      <c r="D326" s="184">
        <f t="shared" si="7"/>
        <v>20</v>
      </c>
      <c r="E326" s="133">
        <f t="shared" si="7"/>
        <v>0</v>
      </c>
      <c r="F326" s="184">
        <f t="shared" si="7"/>
        <v>34760</v>
      </c>
      <c r="G326" s="133">
        <f t="shared" si="7"/>
        <v>0</v>
      </c>
      <c r="H326" s="184">
        <f t="shared" si="7"/>
        <v>19468</v>
      </c>
      <c r="I326" s="133">
        <f t="shared" si="7"/>
        <v>0</v>
      </c>
      <c r="J326" s="184">
        <f t="shared" si="7"/>
        <v>12777</v>
      </c>
      <c r="K326" s="133">
        <f t="shared" si="7"/>
        <v>0</v>
      </c>
      <c r="L326" s="184">
        <f t="shared" si="7"/>
        <v>1120</v>
      </c>
      <c r="M326" s="133">
        <f t="shared" si="7"/>
        <v>0</v>
      </c>
      <c r="N326" s="184">
        <f t="shared" si="7"/>
        <v>1341</v>
      </c>
      <c r="O326" s="133">
        <f t="shared" si="7"/>
        <v>0</v>
      </c>
      <c r="P326" s="140">
        <f t="shared" si="7"/>
        <v>20588</v>
      </c>
      <c r="Q326" s="133">
        <f t="shared" si="7"/>
        <v>0</v>
      </c>
      <c r="R326" s="140">
        <f t="shared" si="7"/>
        <v>14118</v>
      </c>
      <c r="S326" s="133">
        <f t="shared" si="7"/>
        <v>0</v>
      </c>
      <c r="T326" s="184">
        <f t="shared" si="7"/>
        <v>7431</v>
      </c>
      <c r="U326" s="133">
        <f t="shared" si="7"/>
        <v>0</v>
      </c>
      <c r="V326" s="140">
        <f t="shared" si="7"/>
        <v>961</v>
      </c>
      <c r="W326" s="133">
        <f t="shared" si="7"/>
        <v>0</v>
      </c>
      <c r="X326" s="140">
        <f t="shared" si="7"/>
        <v>6470</v>
      </c>
      <c r="Y326" s="134">
        <f t="shared" si="7"/>
        <v>0</v>
      </c>
    </row>
    <row r="327" spans="2:25">
      <c r="B327" s="132">
        <f t="shared" si="7"/>
        <v>83</v>
      </c>
      <c r="C327" s="202" t="str">
        <f t="shared" si="7"/>
        <v>בריאות</v>
      </c>
      <c r="D327" s="184">
        <f t="shared" si="7"/>
        <v>1</v>
      </c>
      <c r="E327" s="133">
        <f t="shared" si="7"/>
        <v>0</v>
      </c>
      <c r="F327" s="184">
        <f t="shared" si="7"/>
        <v>850</v>
      </c>
      <c r="G327" s="133">
        <f t="shared" si="7"/>
        <v>0</v>
      </c>
      <c r="H327" s="184">
        <f t="shared" si="7"/>
        <v>482</v>
      </c>
      <c r="I327" s="133">
        <f t="shared" si="7"/>
        <v>0</v>
      </c>
      <c r="J327" s="184">
        <f t="shared" si="7"/>
        <v>38</v>
      </c>
      <c r="K327" s="133">
        <f t="shared" si="7"/>
        <v>0</v>
      </c>
      <c r="L327" s="184">
        <f t="shared" si="7"/>
        <v>0</v>
      </c>
      <c r="M327" s="133">
        <f t="shared" si="7"/>
        <v>0</v>
      </c>
      <c r="N327" s="184">
        <f t="shared" si="7"/>
        <v>0</v>
      </c>
      <c r="O327" s="133">
        <f t="shared" si="7"/>
        <v>0</v>
      </c>
      <c r="P327" s="140">
        <f t="shared" si="7"/>
        <v>482</v>
      </c>
      <c r="Q327" s="133">
        <f t="shared" si="7"/>
        <v>0</v>
      </c>
      <c r="R327" s="140">
        <f t="shared" si="7"/>
        <v>38</v>
      </c>
      <c r="S327" s="133">
        <f t="shared" si="7"/>
        <v>0</v>
      </c>
      <c r="T327" s="184">
        <f t="shared" si="7"/>
        <v>444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444</v>
      </c>
      <c r="Y327" s="134">
        <f t="shared" si="7"/>
        <v>0</v>
      </c>
    </row>
    <row r="328" spans="2:25">
      <c r="B328" s="132">
        <f t="shared" si="7"/>
        <v>84</v>
      </c>
      <c r="C328" s="202" t="str">
        <f t="shared" si="7"/>
        <v>רווחה</v>
      </c>
      <c r="D328" s="184">
        <f t="shared" si="7"/>
        <v>3</v>
      </c>
      <c r="E328" s="133">
        <f t="shared" si="7"/>
        <v>0</v>
      </c>
      <c r="F328" s="184">
        <f t="shared" si="7"/>
        <v>29217</v>
      </c>
      <c r="G328" s="133">
        <f t="shared" si="7"/>
        <v>0</v>
      </c>
      <c r="H328" s="184">
        <f t="shared" si="7"/>
        <v>28926</v>
      </c>
      <c r="I328" s="133">
        <f t="shared" si="7"/>
        <v>0</v>
      </c>
      <c r="J328" s="184">
        <f t="shared" si="7"/>
        <v>28650</v>
      </c>
      <c r="K328" s="133">
        <f t="shared" si="7"/>
        <v>0</v>
      </c>
      <c r="L328" s="184">
        <f t="shared" si="7"/>
        <v>0</v>
      </c>
      <c r="M328" s="133">
        <f t="shared" si="7"/>
        <v>0</v>
      </c>
      <c r="N328" s="184">
        <f t="shared" si="7"/>
        <v>0</v>
      </c>
      <c r="O328" s="133">
        <f t="shared" si="7"/>
        <v>0</v>
      </c>
      <c r="P328" s="140">
        <f t="shared" si="7"/>
        <v>28926</v>
      </c>
      <c r="Q328" s="133">
        <f t="shared" si="7"/>
        <v>0</v>
      </c>
      <c r="R328" s="140">
        <f t="shared" si="7"/>
        <v>28650</v>
      </c>
      <c r="S328" s="133">
        <f t="shared" si="7"/>
        <v>0</v>
      </c>
      <c r="T328" s="184">
        <f t="shared" si="7"/>
        <v>276</v>
      </c>
      <c r="U328" s="133">
        <f t="shared" si="7"/>
        <v>0</v>
      </c>
      <c r="V328" s="140">
        <f t="shared" si="7"/>
        <v>0</v>
      </c>
      <c r="W328" s="133">
        <f t="shared" si="7"/>
        <v>0</v>
      </c>
      <c r="X328" s="140">
        <f t="shared" si="7"/>
        <v>276</v>
      </c>
      <c r="Y328" s="134">
        <f t="shared" si="7"/>
        <v>0</v>
      </c>
    </row>
    <row r="329" spans="2:25">
      <c r="B329" s="132">
        <f t="shared" si="7"/>
        <v>85</v>
      </c>
      <c r="C329" s="202" t="str">
        <f t="shared" si="7"/>
        <v>דת</v>
      </c>
      <c r="D329" s="184">
        <f t="shared" si="7"/>
        <v>4</v>
      </c>
      <c r="E329" s="133">
        <f t="shared" si="7"/>
        <v>0</v>
      </c>
      <c r="F329" s="184">
        <f t="shared" si="7"/>
        <v>8890</v>
      </c>
      <c r="G329" s="133">
        <f t="shared" si="7"/>
        <v>0</v>
      </c>
      <c r="H329" s="184">
        <f t="shared" si="7"/>
        <v>7190</v>
      </c>
      <c r="I329" s="133">
        <f t="shared" si="7"/>
        <v>0</v>
      </c>
      <c r="J329" s="184">
        <f t="shared" si="7"/>
        <v>5842</v>
      </c>
      <c r="K329" s="133">
        <f t="shared" si="7"/>
        <v>0</v>
      </c>
      <c r="L329" s="184">
        <f t="shared" si="7"/>
        <v>0</v>
      </c>
      <c r="M329" s="133">
        <f t="shared" si="7"/>
        <v>0</v>
      </c>
      <c r="N329" s="184">
        <f t="shared" si="7"/>
        <v>0</v>
      </c>
      <c r="O329" s="133">
        <f t="shared" si="7"/>
        <v>0</v>
      </c>
      <c r="P329" s="140">
        <f t="shared" si="7"/>
        <v>7190</v>
      </c>
      <c r="Q329" s="133">
        <f t="shared" si="7"/>
        <v>0</v>
      </c>
      <c r="R329" s="140">
        <f t="shared" si="7"/>
        <v>5842</v>
      </c>
      <c r="S329" s="133">
        <f t="shared" si="7"/>
        <v>0</v>
      </c>
      <c r="T329" s="184">
        <f t="shared" si="7"/>
        <v>1354</v>
      </c>
      <c r="U329" s="133">
        <f t="shared" si="7"/>
        <v>0</v>
      </c>
      <c r="V329" s="140">
        <f t="shared" si="7"/>
        <v>6</v>
      </c>
      <c r="W329" s="133">
        <f t="shared" si="7"/>
        <v>0</v>
      </c>
      <c r="X329" s="140">
        <f t="shared" si="7"/>
        <v>1348</v>
      </c>
      <c r="Y329" s="134">
        <f t="shared" si="7"/>
        <v>0</v>
      </c>
    </row>
    <row r="330" spans="2:25">
      <c r="B330" s="132">
        <f t="shared" si="7"/>
        <v>86</v>
      </c>
      <c r="C330" s="202" t="str">
        <f t="shared" si="7"/>
        <v>קליטת עליה</v>
      </c>
      <c r="D330" s="184">
        <f t="shared" si="7"/>
        <v>0</v>
      </c>
      <c r="E330" s="133">
        <f t="shared" si="7"/>
        <v>0</v>
      </c>
      <c r="F330" s="184">
        <f t="shared" si="7"/>
        <v>0</v>
      </c>
      <c r="G330" s="133">
        <f t="shared" si="7"/>
        <v>0</v>
      </c>
      <c r="H330" s="184">
        <f t="shared" si="7"/>
        <v>0</v>
      </c>
      <c r="I330" s="133">
        <f t="shared" si="7"/>
        <v>0</v>
      </c>
      <c r="J330" s="184">
        <f t="shared" si="7"/>
        <v>0</v>
      </c>
      <c r="K330" s="133">
        <f t="shared" si="7"/>
        <v>0</v>
      </c>
      <c r="L330" s="184">
        <f t="shared" si="7"/>
        <v>0</v>
      </c>
      <c r="M330" s="133">
        <f t="shared" si="7"/>
        <v>0</v>
      </c>
      <c r="N330" s="184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4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>
      <c r="B331" s="132">
        <f t="shared" si="7"/>
        <v>87</v>
      </c>
      <c r="C331" s="202" t="str">
        <f t="shared" si="7"/>
        <v>איכות הסביבה</v>
      </c>
      <c r="D331" s="184">
        <f t="shared" si="7"/>
        <v>6</v>
      </c>
      <c r="E331" s="133">
        <f t="shared" si="7"/>
        <v>0</v>
      </c>
      <c r="F331" s="184">
        <f t="shared" si="7"/>
        <v>2598</v>
      </c>
      <c r="G331" s="133">
        <f t="shared" si="7"/>
        <v>0</v>
      </c>
      <c r="H331" s="184">
        <f t="shared" si="7"/>
        <v>1372</v>
      </c>
      <c r="I331" s="133">
        <f t="shared" si="7"/>
        <v>0</v>
      </c>
      <c r="J331" s="184">
        <f t="shared" si="7"/>
        <v>1006</v>
      </c>
      <c r="K331" s="133">
        <f t="shared" si="7"/>
        <v>0</v>
      </c>
      <c r="L331" s="184">
        <f t="shared" si="7"/>
        <v>0</v>
      </c>
      <c r="M331" s="133">
        <f t="shared" si="7"/>
        <v>0</v>
      </c>
      <c r="N331" s="184">
        <f t="shared" si="7"/>
        <v>4</v>
      </c>
      <c r="O331" s="133">
        <f t="shared" si="7"/>
        <v>0</v>
      </c>
      <c r="P331" s="140">
        <f t="shared" si="7"/>
        <v>1372</v>
      </c>
      <c r="Q331" s="133">
        <f t="shared" ref="Q331:Y331" si="8">Q27</f>
        <v>0</v>
      </c>
      <c r="R331" s="140">
        <f t="shared" si="8"/>
        <v>1010</v>
      </c>
      <c r="S331" s="133">
        <f t="shared" si="8"/>
        <v>0</v>
      </c>
      <c r="T331" s="184">
        <f t="shared" si="8"/>
        <v>387</v>
      </c>
      <c r="U331" s="133">
        <f t="shared" si="8"/>
        <v>0</v>
      </c>
      <c r="V331" s="140">
        <f t="shared" si="8"/>
        <v>25</v>
      </c>
      <c r="W331" s="133">
        <f t="shared" si="8"/>
        <v>0</v>
      </c>
      <c r="X331" s="140">
        <f t="shared" si="8"/>
        <v>362</v>
      </c>
      <c r="Y331" s="134">
        <f t="shared" si="8"/>
        <v>0</v>
      </c>
    </row>
    <row r="332" spans="2:25">
      <c r="B332" s="132">
        <f t="shared" ref="B332:T343" si="9">B28</f>
        <v>91</v>
      </c>
      <c r="C332" s="202" t="str">
        <f t="shared" si="9"/>
        <v>מים</v>
      </c>
      <c r="D332" s="184">
        <f t="shared" si="9"/>
        <v>0</v>
      </c>
      <c r="E332" s="133">
        <f t="shared" si="9"/>
        <v>0</v>
      </c>
      <c r="F332" s="184">
        <f t="shared" si="9"/>
        <v>0</v>
      </c>
      <c r="G332" s="133">
        <f t="shared" si="9"/>
        <v>0</v>
      </c>
      <c r="H332" s="184">
        <f t="shared" si="9"/>
        <v>0</v>
      </c>
      <c r="I332" s="133">
        <f t="shared" si="9"/>
        <v>0</v>
      </c>
      <c r="J332" s="184">
        <f t="shared" si="9"/>
        <v>0</v>
      </c>
      <c r="K332" s="133">
        <f t="shared" si="9"/>
        <v>0</v>
      </c>
      <c r="L332" s="184">
        <f t="shared" si="9"/>
        <v>0</v>
      </c>
      <c r="M332" s="133">
        <f t="shared" si="9"/>
        <v>0</v>
      </c>
      <c r="N332" s="184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4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>
      <c r="B333" s="132">
        <f t="shared" si="9"/>
        <v>92</v>
      </c>
      <c r="C333" s="202" t="str">
        <f t="shared" si="9"/>
        <v>בתי מטבחיים</v>
      </c>
      <c r="D333" s="184">
        <f t="shared" si="9"/>
        <v>0</v>
      </c>
      <c r="E333" s="133">
        <f t="shared" si="9"/>
        <v>0</v>
      </c>
      <c r="F333" s="184">
        <f t="shared" si="9"/>
        <v>0</v>
      </c>
      <c r="G333" s="133">
        <f t="shared" si="9"/>
        <v>0</v>
      </c>
      <c r="H333" s="184">
        <f t="shared" si="9"/>
        <v>0</v>
      </c>
      <c r="I333" s="133">
        <f t="shared" si="9"/>
        <v>0</v>
      </c>
      <c r="J333" s="184">
        <f t="shared" si="9"/>
        <v>0</v>
      </c>
      <c r="K333" s="133">
        <f t="shared" si="9"/>
        <v>0</v>
      </c>
      <c r="L333" s="184">
        <f t="shared" si="9"/>
        <v>0</v>
      </c>
      <c r="M333" s="133">
        <f t="shared" si="9"/>
        <v>0</v>
      </c>
      <c r="N333" s="184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4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>
      <c r="B334" s="132">
        <f t="shared" si="9"/>
        <v>93</v>
      </c>
      <c r="C334" s="202" t="str">
        <f t="shared" si="9"/>
        <v>נכסים</v>
      </c>
      <c r="D334" s="184">
        <f t="shared" si="9"/>
        <v>27</v>
      </c>
      <c r="E334" s="133">
        <f t="shared" si="9"/>
        <v>0</v>
      </c>
      <c r="F334" s="184">
        <f t="shared" si="9"/>
        <v>105044</v>
      </c>
      <c r="G334" s="133">
        <f t="shared" si="9"/>
        <v>0</v>
      </c>
      <c r="H334" s="184">
        <f t="shared" si="9"/>
        <v>94342</v>
      </c>
      <c r="I334" s="133">
        <f t="shared" si="9"/>
        <v>0</v>
      </c>
      <c r="J334" s="184">
        <f t="shared" si="9"/>
        <v>71247</v>
      </c>
      <c r="K334" s="133">
        <f t="shared" si="9"/>
        <v>0</v>
      </c>
      <c r="L334" s="184">
        <f t="shared" si="9"/>
        <v>6325</v>
      </c>
      <c r="M334" s="133">
        <f t="shared" si="9"/>
        <v>0</v>
      </c>
      <c r="N334" s="184">
        <f t="shared" si="9"/>
        <v>3737</v>
      </c>
      <c r="O334" s="133">
        <f t="shared" si="9"/>
        <v>0</v>
      </c>
      <c r="P334" s="140">
        <f t="shared" si="9"/>
        <v>100667</v>
      </c>
      <c r="Q334" s="133">
        <f t="shared" si="9"/>
        <v>0</v>
      </c>
      <c r="R334" s="140">
        <f t="shared" si="9"/>
        <v>74984</v>
      </c>
      <c r="S334" s="133">
        <f t="shared" si="9"/>
        <v>0</v>
      </c>
      <c r="T334" s="184">
        <f t="shared" si="9"/>
        <v>25733</v>
      </c>
      <c r="U334" s="133">
        <f t="shared" si="10"/>
        <v>0</v>
      </c>
      <c r="V334" s="140">
        <f t="shared" si="10"/>
        <v>50</v>
      </c>
      <c r="W334" s="133">
        <f t="shared" si="10"/>
        <v>0</v>
      </c>
      <c r="X334" s="140">
        <f t="shared" si="10"/>
        <v>25683</v>
      </c>
      <c r="Y334" s="134">
        <f t="shared" si="10"/>
        <v>0</v>
      </c>
    </row>
    <row r="335" spans="2:25">
      <c r="B335" s="132">
        <f t="shared" si="9"/>
        <v>94</v>
      </c>
      <c r="C335" s="202" t="str">
        <f t="shared" si="9"/>
        <v>תחבורה</v>
      </c>
      <c r="D335" s="184">
        <f t="shared" si="9"/>
        <v>0</v>
      </c>
      <c r="E335" s="133">
        <f t="shared" si="9"/>
        <v>0</v>
      </c>
      <c r="F335" s="184">
        <f t="shared" si="9"/>
        <v>0</v>
      </c>
      <c r="G335" s="133">
        <f t="shared" si="9"/>
        <v>0</v>
      </c>
      <c r="H335" s="184">
        <f t="shared" si="9"/>
        <v>0</v>
      </c>
      <c r="I335" s="133">
        <f t="shared" si="9"/>
        <v>0</v>
      </c>
      <c r="J335" s="184">
        <f t="shared" si="9"/>
        <v>0</v>
      </c>
      <c r="K335" s="133">
        <f t="shared" si="9"/>
        <v>0</v>
      </c>
      <c r="L335" s="184">
        <f t="shared" si="9"/>
        <v>0</v>
      </c>
      <c r="M335" s="133">
        <f t="shared" si="9"/>
        <v>0</v>
      </c>
      <c r="N335" s="184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4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>
      <c r="B336" s="132">
        <f t="shared" si="9"/>
        <v>95</v>
      </c>
      <c r="C336" s="202" t="str">
        <f t="shared" si="9"/>
        <v>תעסוקה</v>
      </c>
      <c r="D336" s="184">
        <f t="shared" si="9"/>
        <v>0</v>
      </c>
      <c r="E336" s="133">
        <f t="shared" si="9"/>
        <v>0</v>
      </c>
      <c r="F336" s="184">
        <f t="shared" si="9"/>
        <v>0</v>
      </c>
      <c r="G336" s="133">
        <f t="shared" si="9"/>
        <v>0</v>
      </c>
      <c r="H336" s="184">
        <f t="shared" si="9"/>
        <v>0</v>
      </c>
      <c r="I336" s="133">
        <f t="shared" si="9"/>
        <v>0</v>
      </c>
      <c r="J336" s="184">
        <f t="shared" si="9"/>
        <v>0</v>
      </c>
      <c r="K336" s="133">
        <f t="shared" si="9"/>
        <v>0</v>
      </c>
      <c r="L336" s="184">
        <f t="shared" si="9"/>
        <v>0</v>
      </c>
      <c r="M336" s="133">
        <f t="shared" si="9"/>
        <v>0</v>
      </c>
      <c r="N336" s="184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4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>
      <c r="B337" s="132">
        <f t="shared" si="9"/>
        <v>96</v>
      </c>
      <c r="C337" s="202" t="str">
        <f t="shared" si="9"/>
        <v>חשמל</v>
      </c>
      <c r="D337" s="184">
        <f t="shared" si="9"/>
        <v>0</v>
      </c>
      <c r="E337" s="133">
        <f t="shared" si="9"/>
        <v>0</v>
      </c>
      <c r="F337" s="184">
        <f t="shared" si="9"/>
        <v>0</v>
      </c>
      <c r="G337" s="133">
        <f t="shared" si="9"/>
        <v>0</v>
      </c>
      <c r="H337" s="184">
        <f t="shared" si="9"/>
        <v>0</v>
      </c>
      <c r="I337" s="133">
        <f t="shared" si="9"/>
        <v>0</v>
      </c>
      <c r="J337" s="184">
        <f t="shared" si="9"/>
        <v>0</v>
      </c>
      <c r="K337" s="133">
        <f t="shared" si="9"/>
        <v>0</v>
      </c>
      <c r="L337" s="184">
        <f t="shared" si="9"/>
        <v>0</v>
      </c>
      <c r="M337" s="133">
        <f t="shared" si="9"/>
        <v>0</v>
      </c>
      <c r="N337" s="184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4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>
      <c r="B338" s="132">
        <f t="shared" si="9"/>
        <v>97</v>
      </c>
      <c r="C338" s="202" t="str">
        <f t="shared" si="9"/>
        <v>ביוב</v>
      </c>
      <c r="D338" s="184">
        <f t="shared" si="9"/>
        <v>0</v>
      </c>
      <c r="E338" s="133">
        <f t="shared" si="9"/>
        <v>0</v>
      </c>
      <c r="F338" s="184">
        <f t="shared" si="9"/>
        <v>0</v>
      </c>
      <c r="G338" s="133">
        <f t="shared" si="9"/>
        <v>0</v>
      </c>
      <c r="H338" s="184">
        <f t="shared" si="9"/>
        <v>0</v>
      </c>
      <c r="I338" s="133">
        <f t="shared" si="9"/>
        <v>0</v>
      </c>
      <c r="J338" s="184">
        <f t="shared" si="9"/>
        <v>0</v>
      </c>
      <c r="K338" s="133">
        <f t="shared" si="9"/>
        <v>0</v>
      </c>
      <c r="L338" s="184">
        <f t="shared" si="9"/>
        <v>0</v>
      </c>
      <c r="M338" s="133">
        <f t="shared" si="9"/>
        <v>0</v>
      </c>
      <c r="N338" s="184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4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>
      <c r="B339" s="132">
        <f t="shared" si="9"/>
        <v>98</v>
      </c>
      <c r="C339" s="202" t="str">
        <f t="shared" si="9"/>
        <v>מפעלים אחרים</v>
      </c>
      <c r="D339" s="184">
        <f t="shared" si="9"/>
        <v>0</v>
      </c>
      <c r="E339" s="133">
        <f t="shared" si="9"/>
        <v>0</v>
      </c>
      <c r="F339" s="184">
        <f t="shared" si="9"/>
        <v>0</v>
      </c>
      <c r="G339" s="133">
        <f t="shared" si="9"/>
        <v>0</v>
      </c>
      <c r="H339" s="184">
        <f t="shared" si="9"/>
        <v>0</v>
      </c>
      <c r="I339" s="133">
        <f t="shared" si="9"/>
        <v>0</v>
      </c>
      <c r="J339" s="184">
        <f t="shared" si="9"/>
        <v>0</v>
      </c>
      <c r="K339" s="133">
        <f t="shared" si="9"/>
        <v>0</v>
      </c>
      <c r="L339" s="184">
        <f t="shared" si="9"/>
        <v>0</v>
      </c>
      <c r="M339" s="133">
        <f t="shared" si="9"/>
        <v>0</v>
      </c>
      <c r="N339" s="184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4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>
      <c r="B340" s="132">
        <f t="shared" si="9"/>
        <v>99</v>
      </c>
      <c r="C340" s="202" t="str">
        <f t="shared" si="9"/>
        <v xml:space="preserve">תשלומים לא רגילים </v>
      </c>
      <c r="D340" s="184">
        <f t="shared" si="9"/>
        <v>1</v>
      </c>
      <c r="E340" s="133">
        <f t="shared" si="9"/>
        <v>0</v>
      </c>
      <c r="F340" s="184">
        <f t="shared" si="9"/>
        <v>2332</v>
      </c>
      <c r="G340" s="133">
        <f t="shared" si="9"/>
        <v>0</v>
      </c>
      <c r="H340" s="184">
        <f t="shared" si="9"/>
        <v>2332</v>
      </c>
      <c r="I340" s="133">
        <f t="shared" si="9"/>
        <v>0</v>
      </c>
      <c r="J340" s="184">
        <f t="shared" si="9"/>
        <v>0</v>
      </c>
      <c r="K340" s="133">
        <f t="shared" si="9"/>
        <v>0</v>
      </c>
      <c r="L340" s="184">
        <f t="shared" si="9"/>
        <v>-130</v>
      </c>
      <c r="M340" s="133">
        <f t="shared" si="9"/>
        <v>0</v>
      </c>
      <c r="N340" s="184">
        <f t="shared" si="9"/>
        <v>0</v>
      </c>
      <c r="O340" s="133">
        <f t="shared" si="9"/>
        <v>0</v>
      </c>
      <c r="P340" s="140">
        <f t="shared" si="9"/>
        <v>2202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4">
        <f t="shared" si="9"/>
        <v>2202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2202</v>
      </c>
      <c r="Y340" s="134">
        <f t="shared" si="10"/>
        <v>0</v>
      </c>
    </row>
    <row r="341" spans="2:25" ht="13.5" thickBot="1">
      <c r="B341" s="132">
        <f t="shared" si="9"/>
        <v>0</v>
      </c>
      <c r="C341" s="133" t="str">
        <f t="shared" si="9"/>
        <v>סה"כ</v>
      </c>
      <c r="D341" s="145">
        <f t="shared" si="9"/>
        <v>316</v>
      </c>
      <c r="E341" s="133">
        <f t="shared" si="9"/>
        <v>0</v>
      </c>
      <c r="F341" s="145">
        <f t="shared" si="9"/>
        <v>1231737</v>
      </c>
      <c r="G341" s="133">
        <f t="shared" si="9"/>
        <v>0</v>
      </c>
      <c r="H341" s="145">
        <f t="shared" si="9"/>
        <v>991881</v>
      </c>
      <c r="I341" s="133">
        <f t="shared" si="9"/>
        <v>0</v>
      </c>
      <c r="J341" s="145">
        <f t="shared" si="9"/>
        <v>675879</v>
      </c>
      <c r="K341" s="133">
        <f t="shared" si="9"/>
        <v>0</v>
      </c>
      <c r="L341" s="145">
        <f t="shared" si="9"/>
        <v>37404</v>
      </c>
      <c r="M341" s="133">
        <f t="shared" si="9"/>
        <v>0</v>
      </c>
      <c r="N341" s="145">
        <f t="shared" si="9"/>
        <v>26036</v>
      </c>
      <c r="O341" s="133">
        <f t="shared" si="9"/>
        <v>0</v>
      </c>
      <c r="P341" s="145">
        <f t="shared" si="9"/>
        <v>1029285</v>
      </c>
      <c r="Q341" s="133">
        <f t="shared" si="9"/>
        <v>0</v>
      </c>
      <c r="R341" s="145">
        <f t="shared" si="9"/>
        <v>701915</v>
      </c>
      <c r="S341" s="133">
        <f t="shared" si="9"/>
        <v>0</v>
      </c>
      <c r="T341" s="145">
        <f t="shared" si="9"/>
        <v>340769</v>
      </c>
      <c r="U341" s="133">
        <f t="shared" si="10"/>
        <v>0</v>
      </c>
      <c r="V341" s="145">
        <f t="shared" si="10"/>
        <v>13399</v>
      </c>
      <c r="W341" s="133">
        <f t="shared" si="10"/>
        <v>0</v>
      </c>
      <c r="X341" s="145">
        <f t="shared" si="10"/>
        <v>327370</v>
      </c>
      <c r="Y341" s="134">
        <f t="shared" si="10"/>
        <v>0</v>
      </c>
    </row>
    <row r="342" spans="2:25" ht="13.5" thickTop="1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>
      <c r="B343" s="132"/>
      <c r="C343" s="220" t="s">
        <v>826</v>
      </c>
      <c r="D343" s="220">
        <f>BikoretCode</f>
        <v>0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topLeftCell="A4" zoomScale="90" zoomScaleNormal="90" workbookViewId="0">
      <selection activeCell="A4" sqref="A4"/>
    </sheetView>
  </sheetViews>
  <sheetFormatPr defaultColWidth="9.140625" defaultRowHeight="12.75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1"/>
      <c r="O1" s="216" t="str">
        <f>'הגדרות כלליות'!G24</f>
        <v>לא</v>
      </c>
    </row>
    <row r="2" spans="1:15" ht="19.5" thickTop="1" thickBot="1">
      <c r="A2" s="105"/>
      <c r="B2" s="105"/>
      <c r="C2" s="642" t="s">
        <v>771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5"/>
      <c r="O2" s="105"/>
    </row>
    <row r="3" spans="1:15" ht="19.5" thickTop="1" thickBot="1">
      <c r="A3" s="105"/>
      <c r="B3" s="105"/>
      <c r="C3" s="639" t="str">
        <f>ReportPeriod</f>
        <v>לתקופה: רבעון 1, שנת 2021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105"/>
    </row>
    <row r="4" spans="1:15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>
      <c r="A8" s="110"/>
      <c r="B8" s="217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>
      <c r="A9" s="110"/>
      <c r="B9" s="117" t="s">
        <v>779</v>
      </c>
      <c r="C9" s="118">
        <v>216602</v>
      </c>
      <c r="D9" s="115"/>
      <c r="E9" s="118">
        <v>190513</v>
      </c>
      <c r="F9" s="115"/>
      <c r="G9" s="118">
        <v>190513</v>
      </c>
      <c r="H9" s="115"/>
      <c r="I9" s="118">
        <v>200</v>
      </c>
      <c r="J9" s="115"/>
      <c r="K9" s="118">
        <v>200</v>
      </c>
      <c r="L9" s="115"/>
      <c r="M9" s="118">
        <v>200</v>
      </c>
      <c r="N9" s="116"/>
      <c r="O9" s="111"/>
    </row>
    <row r="10" spans="1:15">
      <c r="A10" s="110"/>
      <c r="B10" s="117" t="s">
        <v>780</v>
      </c>
      <c r="C10" s="118">
        <v>-2195</v>
      </c>
      <c r="D10" s="115"/>
      <c r="E10" s="118"/>
      <c r="F10" s="115"/>
      <c r="G10" s="118">
        <v>43</v>
      </c>
      <c r="H10" s="115"/>
      <c r="I10" s="118">
        <v>-413</v>
      </c>
      <c r="J10" s="115"/>
      <c r="K10" s="118"/>
      <c r="L10" s="115"/>
      <c r="M10" s="118">
        <v>-9</v>
      </c>
      <c r="N10" s="116"/>
      <c r="O10" s="111"/>
    </row>
    <row r="11" spans="1:15">
      <c r="A11" s="110"/>
      <c r="B11" s="114" t="s">
        <v>781</v>
      </c>
      <c r="C11" s="118">
        <v>-265</v>
      </c>
      <c r="D11" s="115"/>
      <c r="E11" s="118">
        <v>-8187</v>
      </c>
      <c r="F11" s="115"/>
      <c r="G11" s="118">
        <v>-46381</v>
      </c>
      <c r="H11" s="115"/>
      <c r="I11" s="118">
        <v>185</v>
      </c>
      <c r="J11" s="115"/>
      <c r="K11" s="118">
        <v>-391</v>
      </c>
      <c r="L11" s="115"/>
      <c r="M11" s="118">
        <v>-1625</v>
      </c>
      <c r="N11" s="116"/>
      <c r="O11" s="111"/>
    </row>
    <row r="12" spans="1:15">
      <c r="A12" s="110"/>
      <c r="B12" s="114" t="s">
        <v>782</v>
      </c>
      <c r="C12" s="589">
        <v>6391</v>
      </c>
      <c r="D12" s="115"/>
      <c r="E12" s="118">
        <v>5226</v>
      </c>
      <c r="F12" s="115"/>
      <c r="G12" s="118">
        <v>33835</v>
      </c>
      <c r="H12" s="115"/>
      <c r="I12" s="118">
        <v>242</v>
      </c>
      <c r="J12" s="115"/>
      <c r="K12" s="118">
        <v>494</v>
      </c>
      <c r="L12" s="115"/>
      <c r="M12" s="118">
        <v>1877</v>
      </c>
      <c r="N12" s="116"/>
      <c r="O12" s="111"/>
    </row>
    <row r="13" spans="1:15">
      <c r="A13" s="110"/>
      <c r="B13" s="117" t="s">
        <v>7</v>
      </c>
      <c r="C13" s="118">
        <v>-5708</v>
      </c>
      <c r="D13" s="115"/>
      <c r="E13" s="118">
        <v>-1634</v>
      </c>
      <c r="F13" s="115"/>
      <c r="G13" s="118">
        <v>-2289</v>
      </c>
      <c r="H13" s="115"/>
      <c r="I13" s="118"/>
      <c r="J13" s="115"/>
      <c r="K13" s="118"/>
      <c r="L13" s="115"/>
      <c r="M13" s="118"/>
      <c r="N13" s="116"/>
      <c r="O13" s="111"/>
    </row>
    <row r="14" spans="1:15">
      <c r="A14" s="110"/>
      <c r="B14" s="117" t="s">
        <v>8</v>
      </c>
      <c r="C14" s="118"/>
      <c r="D14" s="115"/>
      <c r="E14" s="118"/>
      <c r="F14" s="115"/>
      <c r="G14" s="118"/>
      <c r="H14" s="115"/>
      <c r="I14" s="118"/>
      <c r="J14" s="115"/>
      <c r="K14" s="118"/>
      <c r="L14" s="115"/>
      <c r="M14" s="118"/>
      <c r="N14" s="116"/>
      <c r="O14" s="111"/>
    </row>
    <row r="15" spans="1:15">
      <c r="A15" s="110"/>
      <c r="B15" s="114" t="s">
        <v>784</v>
      </c>
      <c r="C15" s="67">
        <f>SUM(C9:C14)</f>
        <v>214825</v>
      </c>
      <c r="D15" s="115"/>
      <c r="E15" s="67">
        <f>SUM(E9:E14)</f>
        <v>185918</v>
      </c>
      <c r="F15" s="115"/>
      <c r="G15" s="67">
        <f>SUM(G9:G14)</f>
        <v>175721</v>
      </c>
      <c r="H15" s="115"/>
      <c r="I15" s="67">
        <f>SUM(I9:I14)</f>
        <v>214</v>
      </c>
      <c r="J15" s="115"/>
      <c r="K15" s="67">
        <f>SUM(K9:K14)</f>
        <v>303</v>
      </c>
      <c r="L15" s="115"/>
      <c r="M15" s="67">
        <f>SUM(M9:M14)</f>
        <v>443</v>
      </c>
      <c r="N15" s="116"/>
      <c r="O15" s="111"/>
    </row>
    <row r="16" spans="1:15">
      <c r="A16" s="110"/>
      <c r="B16" s="114" t="s">
        <v>785</v>
      </c>
      <c r="C16" s="122">
        <v>12979</v>
      </c>
      <c r="D16" s="115"/>
      <c r="E16" s="122">
        <v>11341</v>
      </c>
      <c r="F16" s="115"/>
      <c r="G16" s="122">
        <v>22412</v>
      </c>
      <c r="H16" s="115"/>
      <c r="I16" s="122">
        <v>14</v>
      </c>
      <c r="J16" s="115"/>
      <c r="K16" s="122">
        <v>103</v>
      </c>
      <c r="L16" s="115"/>
      <c r="M16" s="122">
        <v>243</v>
      </c>
      <c r="N16" s="116"/>
      <c r="O16" s="111"/>
    </row>
    <row r="17" spans="1:15">
      <c r="A17" s="110"/>
      <c r="B17" s="114" t="s">
        <v>786</v>
      </c>
      <c r="C17" s="67">
        <f>C15-C16</f>
        <v>201846</v>
      </c>
      <c r="D17" s="115"/>
      <c r="E17" s="67">
        <f>E15-E16</f>
        <v>174577</v>
      </c>
      <c r="F17" s="115"/>
      <c r="G17" s="67">
        <f>G15-G16</f>
        <v>153309</v>
      </c>
      <c r="H17" s="115"/>
      <c r="I17" s="67">
        <f>I15-I16</f>
        <v>200</v>
      </c>
      <c r="J17" s="115"/>
      <c r="K17" s="67">
        <f>K15-K16</f>
        <v>200</v>
      </c>
      <c r="L17" s="115"/>
      <c r="M17" s="67">
        <f>M15-M16</f>
        <v>200</v>
      </c>
      <c r="N17" s="116"/>
      <c r="O17" s="111"/>
    </row>
    <row r="18" spans="1:15" ht="22.5" customHeight="1">
      <c r="A18" s="110"/>
      <c r="B18" s="217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>
      <c r="A19" s="110"/>
      <c r="B19" s="114" t="s">
        <v>788</v>
      </c>
      <c r="C19" s="118">
        <v>110488</v>
      </c>
      <c r="D19" s="115"/>
      <c r="E19" s="118">
        <v>107485</v>
      </c>
      <c r="F19" s="115"/>
      <c r="G19" s="118">
        <v>429938</v>
      </c>
      <c r="H19" s="115"/>
      <c r="I19" s="118"/>
      <c r="J19" s="115"/>
      <c r="K19" s="118"/>
      <c r="L19" s="115"/>
      <c r="M19" s="118"/>
      <c r="N19" s="116"/>
      <c r="O19" s="111"/>
    </row>
    <row r="20" spans="1:15">
      <c r="A20" s="110"/>
      <c r="B20" s="114" t="s">
        <v>789</v>
      </c>
      <c r="C20" s="118">
        <f>63090-36830</f>
        <v>26260</v>
      </c>
      <c r="D20" s="115"/>
      <c r="E20" s="118">
        <v>25730</v>
      </c>
      <c r="F20" s="115"/>
      <c r="G20" s="118">
        <v>10302</v>
      </c>
      <c r="H20" s="115"/>
      <c r="I20" s="118"/>
      <c r="J20" s="115"/>
      <c r="K20" s="118"/>
      <c r="L20" s="115"/>
      <c r="M20" s="118"/>
      <c r="N20" s="116"/>
      <c r="O20" s="111"/>
    </row>
    <row r="21" spans="1:15">
      <c r="A21" s="110"/>
      <c r="B21" s="117" t="s">
        <v>7</v>
      </c>
      <c r="C21" s="118">
        <v>-30674</v>
      </c>
      <c r="D21" s="115"/>
      <c r="E21" s="118">
        <v>-24054</v>
      </c>
      <c r="F21" s="115"/>
      <c r="G21" s="118">
        <v>-101825</v>
      </c>
      <c r="H21" s="115"/>
      <c r="I21" s="118"/>
      <c r="J21" s="115"/>
      <c r="K21" s="118"/>
      <c r="L21" s="115"/>
      <c r="M21" s="118"/>
      <c r="N21" s="116"/>
      <c r="O21" s="111"/>
    </row>
    <row r="22" spans="1:15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>
      <c r="A23" s="110"/>
      <c r="B23" s="114" t="s">
        <v>790</v>
      </c>
      <c r="C23" s="67">
        <f>SUM(C19:C22)</f>
        <v>106074</v>
      </c>
      <c r="D23" s="115"/>
      <c r="E23" s="67">
        <f>SUM(E19:E22)</f>
        <v>109161</v>
      </c>
      <c r="F23" s="115"/>
      <c r="G23" s="67">
        <f>SUM(G19:G22)</f>
        <v>338415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>
      <c r="A24" s="110"/>
      <c r="B24" s="117" t="s">
        <v>791</v>
      </c>
      <c r="C24" s="122">
        <f>15312+4936</f>
        <v>20248</v>
      </c>
      <c r="D24" s="115"/>
      <c r="E24" s="122">
        <v>28096</v>
      </c>
      <c r="F24" s="115"/>
      <c r="G24" s="122"/>
      <c r="H24" s="115"/>
      <c r="I24" s="118"/>
      <c r="J24" s="115"/>
      <c r="K24" s="118"/>
      <c r="L24" s="115"/>
      <c r="M24" s="118"/>
      <c r="N24" s="116"/>
      <c r="O24" s="111"/>
    </row>
    <row r="25" spans="1:15">
      <c r="A25" s="110"/>
      <c r="B25" s="114" t="s">
        <v>787</v>
      </c>
      <c r="C25" s="118">
        <f>77359-4936</f>
        <v>72423</v>
      </c>
      <c r="D25" s="115"/>
      <c r="E25" s="118">
        <v>60580</v>
      </c>
      <c r="F25" s="115"/>
      <c r="G25" s="118">
        <v>275122</v>
      </c>
      <c r="H25" s="115"/>
      <c r="I25" s="118"/>
      <c r="J25" s="115"/>
      <c r="K25" s="118"/>
      <c r="L25" s="115"/>
      <c r="M25" s="118"/>
      <c r="N25" s="116"/>
      <c r="O25" s="111"/>
    </row>
    <row r="26" spans="1:15">
      <c r="A26" s="110"/>
      <c r="B26" s="114" t="s">
        <v>792</v>
      </c>
      <c r="C26" s="67">
        <f>SUM(C24:C25)</f>
        <v>92671</v>
      </c>
      <c r="D26" s="115"/>
      <c r="E26" s="67">
        <f>SUM(E24:E25)</f>
        <v>88676</v>
      </c>
      <c r="F26" s="115"/>
      <c r="G26" s="67">
        <f>SUM(G24:G25)</f>
        <v>275122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>
      <c r="A28" s="110"/>
      <c r="B28" s="114" t="s">
        <v>793</v>
      </c>
      <c r="C28" s="67">
        <f>C23-C26</f>
        <v>13403</v>
      </c>
      <c r="D28" s="115"/>
      <c r="E28" s="67">
        <f>E23-E26</f>
        <v>20485</v>
      </c>
      <c r="F28" s="115"/>
      <c r="G28" s="67">
        <f>G23-G26</f>
        <v>63293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>
      <c r="A30" s="110"/>
      <c r="B30" s="114" t="s">
        <v>794</v>
      </c>
      <c r="C30" s="124">
        <f>C17+C28</f>
        <v>215249</v>
      </c>
      <c r="D30" s="115"/>
      <c r="E30" s="124">
        <f>E17+E28</f>
        <v>195062</v>
      </c>
      <c r="F30" s="115"/>
      <c r="G30" s="124">
        <f>G17+G28</f>
        <v>216602</v>
      </c>
      <c r="H30" s="115"/>
      <c r="I30" s="124">
        <f>I17+I28</f>
        <v>200</v>
      </c>
      <c r="J30" s="115"/>
      <c r="K30" s="124">
        <f>K17+K28</f>
        <v>200</v>
      </c>
      <c r="L30" s="115"/>
      <c r="M30" s="124">
        <f>M17+M28</f>
        <v>200</v>
      </c>
      <c r="N30" s="116"/>
      <c r="O30" s="111"/>
    </row>
    <row r="31" spans="1:15" ht="13.5" thickTop="1">
      <c r="A31" s="110"/>
      <c r="B31" s="114" t="s">
        <v>795</v>
      </c>
      <c r="C31" s="123">
        <f>IF(C15&lt;&gt;0,ABS(C16)/C15,0)</f>
        <v>6.0416618177586409E-2</v>
      </c>
      <c r="D31" s="115"/>
      <c r="E31" s="123">
        <f>IF(E15&lt;&gt;0,ABS(E16)/E15,0)</f>
        <v>6.1000010757430695E-2</v>
      </c>
      <c r="F31" s="115"/>
      <c r="G31" s="123">
        <f>IF(G15&lt;&gt;0,ABS(G16)/G15,0)</f>
        <v>0.12754309388177851</v>
      </c>
      <c r="H31" s="115"/>
      <c r="I31" s="123">
        <f>IF(I15&lt;&gt;0,ABS(I16)/I15,0)</f>
        <v>6.5420560747663545E-2</v>
      </c>
      <c r="J31" s="115"/>
      <c r="K31" s="123">
        <f>IF(K15&lt;&gt;0,ABS(K16)/K15,0)</f>
        <v>0.33993399339933994</v>
      </c>
      <c r="L31" s="115"/>
      <c r="M31" s="123">
        <f>IF(M15&lt;&gt;0,ABS(M16)/M15,0)</f>
        <v>0.54853273137697522</v>
      </c>
      <c r="N31" s="116"/>
      <c r="O31" s="111"/>
    </row>
    <row r="32" spans="1:15" ht="25.5">
      <c r="A32" s="110"/>
      <c r="B32" s="489" t="s">
        <v>396</v>
      </c>
      <c r="C32" s="120">
        <f>IF(C$26&lt;&gt;0,ABS(C$26)/C$23,0)</f>
        <v>0.87364481399777516</v>
      </c>
      <c r="D32" s="115"/>
      <c r="E32" s="120">
        <f>IF(E$26&lt;&gt;0,ABS(E$26)/E$23,0)</f>
        <v>0.81234140398127541</v>
      </c>
      <c r="F32" s="115"/>
      <c r="G32" s="120">
        <f>IF(G$26&lt;&gt;0,ABS(G$26)/G$23,0)</f>
        <v>0.81297223822821096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>
      <c r="A33" s="110"/>
      <c r="B33" s="489" t="s">
        <v>395</v>
      </c>
      <c r="C33" s="120">
        <f>IF((C19+C20)&lt;&gt;0,ABS(C25)/(C19+C20),0)</f>
        <v>0.5296092081785474</v>
      </c>
      <c r="D33" s="115"/>
      <c r="E33" s="120">
        <f>IF((E19+E20)&lt;&gt;0,ABS(E25)/(E19+E20),0)</f>
        <v>0.45475359381451036</v>
      </c>
      <c r="F33" s="115"/>
      <c r="G33" s="120">
        <f>IF((G19+G20)&lt;&gt;0,ABS(G25)/(G19+G20),0)</f>
        <v>0.62493639832818459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>
      <c r="A34" s="110"/>
      <c r="B34" s="117" t="s">
        <v>397</v>
      </c>
      <c r="C34" s="471">
        <f>IF((C19+C20)&lt;&gt;0,ABS(C26)/(C19+C20),0)</f>
        <v>0.67767718723491388</v>
      </c>
      <c r="D34" s="115"/>
      <c r="E34" s="471">
        <f>IF((E19+E20)&lt;&gt;0,ABS(E26)/(E19+E20),0)</f>
        <v>0.66566077393686895</v>
      </c>
      <c r="F34" s="115"/>
      <c r="G34" s="471">
        <f>IF((G19+G20)&lt;&gt;0,ABS(G26)/(G19+G20),0)</f>
        <v>0.62493639832818459</v>
      </c>
      <c r="H34" s="115"/>
      <c r="I34" s="471">
        <f>IF((I19+I20)&lt;&gt;0,ABS(I26)/(I19+I20),0)</f>
        <v>0</v>
      </c>
      <c r="J34" s="115"/>
      <c r="K34" s="471">
        <f>IF((K19+K20)&lt;&gt;0,ABS(K26)/(K19+K20),0)</f>
        <v>0</v>
      </c>
      <c r="L34" s="115"/>
      <c r="M34" s="471">
        <f>IF((M19+M20)&lt;&gt;0,ABS(M26)/(M19+M20),0)</f>
        <v>0</v>
      </c>
      <c r="N34" s="116"/>
      <c r="O34" s="111"/>
    </row>
    <row r="35" spans="1:15">
      <c r="A35" s="110"/>
      <c r="B35" s="117" t="s">
        <v>448</v>
      </c>
      <c r="C35" s="120">
        <f>IF((C15+C23)&lt;&gt;0,(C26+C16)/(C23+C15),0)</f>
        <v>0.32923131577225234</v>
      </c>
      <c r="D35" s="115"/>
      <c r="E35" s="120">
        <f>IF((E15+E23)&lt;&gt;0,(E26+E16)/(E23+E15),0)</f>
        <v>0.33894990832963379</v>
      </c>
      <c r="F35" s="115"/>
      <c r="G35" s="120">
        <f>IF((G15+G23)&lt;&gt;0,(G26+G16)/(G23+G15),0)</f>
        <v>0.57870680131327124</v>
      </c>
      <c r="H35" s="115"/>
      <c r="I35" s="120">
        <f>IF((I15+I23)&lt;&gt;0,(I26+I16)/(I23+I15),0)</f>
        <v>6.5420560747663545E-2</v>
      </c>
      <c r="J35" s="115"/>
      <c r="K35" s="120">
        <f>IF((K15+K23)&lt;&gt;0,(K26+K16)/(K23+K15),0)</f>
        <v>0.33993399339933994</v>
      </c>
      <c r="L35" s="115"/>
      <c r="M35" s="120">
        <f>IF((M15+M23)&lt;&gt;0,(M26+M16)/(M23+M15),0)</f>
        <v>0.54853273137697522</v>
      </c>
      <c r="N35" s="116"/>
      <c r="O35" s="111"/>
    </row>
    <row r="36" spans="1:15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9"/>
      <c r="O42" s="111"/>
    </row>
    <row r="43" spans="1: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/>
    <row r="303" spans="2:13" ht="18">
      <c r="B303" s="643" t="str">
        <f>C1</f>
        <v>עיריית בת-ים</v>
      </c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</row>
    <row r="304" spans="2:13" ht="18">
      <c r="B304" s="643" t="str">
        <f>C2</f>
        <v>דוח גבייה ויתרת חייבים באלפי ₪</v>
      </c>
      <c r="C304" s="643"/>
      <c r="D304" s="643"/>
      <c r="E304" s="643"/>
      <c r="F304" s="643"/>
      <c r="G304" s="643"/>
      <c r="H304" s="643"/>
      <c r="I304" s="643"/>
      <c r="J304" s="643"/>
      <c r="K304" s="643"/>
      <c r="L304" s="643"/>
      <c r="M304" s="643"/>
    </row>
    <row r="305" spans="2:14" ht="18">
      <c r="B305" s="643" t="str">
        <f>C3</f>
        <v>לתקופה: רבעון 1, שנת 2021</v>
      </c>
      <c r="C305" s="643"/>
      <c r="D305" s="643"/>
      <c r="E305" s="643"/>
      <c r="F305" s="643"/>
      <c r="G305" s="643"/>
      <c r="H305" s="643"/>
      <c r="I305" s="643"/>
      <c r="J305" s="643"/>
      <c r="K305" s="643"/>
      <c r="L305" s="643"/>
      <c r="M305" s="643"/>
    </row>
    <row r="306" spans="2:14" ht="8.25" customHeight="1"/>
    <row r="307" spans="2:14" ht="6" customHeight="1"/>
    <row r="308" spans="2:14" ht="8.25" customHeight="1"/>
    <row r="309" spans="2:14" ht="38.25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>
      <c r="B311" s="132" t="str">
        <f t="shared" si="1"/>
        <v>יתרת פיגורים ריאלית לתחילת השנה</v>
      </c>
      <c r="C311" s="183">
        <f t="shared" si="0"/>
        <v>216602</v>
      </c>
      <c r="D311" s="133">
        <f t="shared" si="0"/>
        <v>0</v>
      </c>
      <c r="E311" s="183">
        <f t="shared" si="0"/>
        <v>190513</v>
      </c>
      <c r="F311" s="133">
        <f t="shared" si="0"/>
        <v>0</v>
      </c>
      <c r="G311" s="183">
        <f t="shared" si="0"/>
        <v>190513</v>
      </c>
      <c r="H311" s="133">
        <f t="shared" si="0"/>
        <v>0</v>
      </c>
      <c r="I311" s="183">
        <f t="shared" si="0"/>
        <v>200</v>
      </c>
      <c r="J311" s="133">
        <f t="shared" si="0"/>
        <v>0</v>
      </c>
      <c r="K311" s="183">
        <f t="shared" si="0"/>
        <v>200</v>
      </c>
      <c r="L311" s="133">
        <f t="shared" si="0"/>
        <v>0</v>
      </c>
      <c r="M311" s="183">
        <f t="shared" si="0"/>
        <v>200</v>
      </c>
      <c r="N311" s="134">
        <f t="shared" si="0"/>
        <v>0</v>
      </c>
    </row>
    <row r="312" spans="2:14">
      <c r="B312" s="132" t="str">
        <f t="shared" si="1"/>
        <v>חיוב / זיכוי נוסף</v>
      </c>
      <c r="C312" s="184">
        <f t="shared" si="0"/>
        <v>-2195</v>
      </c>
      <c r="D312" s="133">
        <f t="shared" si="0"/>
        <v>0</v>
      </c>
      <c r="E312" s="184">
        <f t="shared" si="0"/>
        <v>0</v>
      </c>
      <c r="F312" s="133">
        <f t="shared" si="0"/>
        <v>0</v>
      </c>
      <c r="G312" s="184">
        <f t="shared" si="0"/>
        <v>43</v>
      </c>
      <c r="H312" s="133">
        <f t="shared" si="0"/>
        <v>0</v>
      </c>
      <c r="I312" s="184">
        <f t="shared" si="0"/>
        <v>-413</v>
      </c>
      <c r="J312" s="133">
        <f t="shared" si="0"/>
        <v>0</v>
      </c>
      <c r="K312" s="184">
        <f t="shared" si="0"/>
        <v>0</v>
      </c>
      <c r="L312" s="133">
        <f t="shared" si="0"/>
        <v>0</v>
      </c>
      <c r="M312" s="184">
        <f t="shared" si="0"/>
        <v>-9</v>
      </c>
      <c r="N312" s="134">
        <f t="shared" si="0"/>
        <v>0</v>
      </c>
    </row>
    <row r="313" spans="2:14">
      <c r="B313" s="132" t="str">
        <f t="shared" si="1"/>
        <v>העברה לחובות מסופקים (במינוס)</v>
      </c>
      <c r="C313" s="184">
        <f t="shared" si="0"/>
        <v>-265</v>
      </c>
      <c r="D313" s="133">
        <f t="shared" si="0"/>
        <v>0</v>
      </c>
      <c r="E313" s="184">
        <f t="shared" si="0"/>
        <v>-8187</v>
      </c>
      <c r="F313" s="133">
        <f t="shared" si="0"/>
        <v>0</v>
      </c>
      <c r="G313" s="184">
        <f t="shared" si="0"/>
        <v>-46381</v>
      </c>
      <c r="H313" s="133">
        <f t="shared" si="0"/>
        <v>0</v>
      </c>
      <c r="I313" s="184">
        <f t="shared" si="0"/>
        <v>185</v>
      </c>
      <c r="J313" s="133">
        <f t="shared" si="0"/>
        <v>0</v>
      </c>
      <c r="K313" s="184">
        <f t="shared" si="0"/>
        <v>-391</v>
      </c>
      <c r="L313" s="133">
        <f t="shared" si="0"/>
        <v>0</v>
      </c>
      <c r="M313" s="184">
        <f t="shared" si="0"/>
        <v>-1625</v>
      </c>
      <c r="N313" s="134">
        <f t="shared" si="0"/>
        <v>0</v>
      </c>
    </row>
    <row r="314" spans="2:14">
      <c r="B314" s="132" t="str">
        <f t="shared" si="1"/>
        <v>חיובים במהלך התקופה כולל ריבית והצמדה</v>
      </c>
      <c r="C314" s="184">
        <f t="shared" si="0"/>
        <v>6391</v>
      </c>
      <c r="D314" s="133">
        <f t="shared" si="0"/>
        <v>0</v>
      </c>
      <c r="E314" s="184">
        <f t="shared" si="0"/>
        <v>5226</v>
      </c>
      <c r="F314" s="133">
        <f t="shared" si="0"/>
        <v>0</v>
      </c>
      <c r="G314" s="184">
        <f t="shared" si="0"/>
        <v>33835</v>
      </c>
      <c r="H314" s="133">
        <f t="shared" si="0"/>
        <v>0</v>
      </c>
      <c r="I314" s="184">
        <f t="shared" si="0"/>
        <v>242</v>
      </c>
      <c r="J314" s="133">
        <f t="shared" si="0"/>
        <v>0</v>
      </c>
      <c r="K314" s="184">
        <f t="shared" si="0"/>
        <v>494</v>
      </c>
      <c r="L314" s="133">
        <f t="shared" si="0"/>
        <v>0</v>
      </c>
      <c r="M314" s="184">
        <f t="shared" si="0"/>
        <v>1877</v>
      </c>
      <c r="N314" s="134">
        <f t="shared" si="0"/>
        <v>0</v>
      </c>
    </row>
    <row r="315" spans="2:14">
      <c r="B315" s="132" t="str">
        <f t="shared" si="1"/>
        <v>הנחות ופטורים (במינוס)</v>
      </c>
      <c r="C315" s="184">
        <f t="shared" si="0"/>
        <v>-5708</v>
      </c>
      <c r="D315" s="133">
        <f t="shared" si="0"/>
        <v>0</v>
      </c>
      <c r="E315" s="184">
        <f t="shared" si="0"/>
        <v>-1634</v>
      </c>
      <c r="F315" s="133">
        <f t="shared" si="0"/>
        <v>0</v>
      </c>
      <c r="G315" s="184">
        <f t="shared" si="0"/>
        <v>-2289</v>
      </c>
      <c r="H315" s="133">
        <f t="shared" si="0"/>
        <v>0</v>
      </c>
      <c r="I315" s="184">
        <f t="shared" si="0"/>
        <v>0</v>
      </c>
      <c r="J315" s="133">
        <f t="shared" si="0"/>
        <v>0</v>
      </c>
      <c r="K315" s="184">
        <f t="shared" si="0"/>
        <v>0</v>
      </c>
      <c r="L315" s="133">
        <f t="shared" si="0"/>
        <v>0</v>
      </c>
      <c r="M315" s="184">
        <f t="shared" si="0"/>
        <v>0</v>
      </c>
      <c r="N315" s="134">
        <f t="shared" si="0"/>
        <v>0</v>
      </c>
    </row>
    <row r="316" spans="2:14">
      <c r="B316" s="132" t="str">
        <f t="shared" si="1"/>
        <v>מחיקת חובות בתקופת הדוח (במינוס)</v>
      </c>
      <c r="C316" s="184">
        <f t="shared" si="0"/>
        <v>0</v>
      </c>
      <c r="D316" s="133">
        <f t="shared" si="0"/>
        <v>0</v>
      </c>
      <c r="E316" s="184">
        <f t="shared" si="0"/>
        <v>0</v>
      </c>
      <c r="F316" s="133">
        <f t="shared" si="0"/>
        <v>0</v>
      </c>
      <c r="G316" s="184">
        <f t="shared" si="0"/>
        <v>0</v>
      </c>
      <c r="H316" s="133">
        <f t="shared" si="0"/>
        <v>0</v>
      </c>
      <c r="I316" s="184">
        <f t="shared" si="0"/>
        <v>0</v>
      </c>
      <c r="J316" s="133">
        <f t="shared" si="0"/>
        <v>0</v>
      </c>
      <c r="K316" s="184">
        <f t="shared" si="0"/>
        <v>0</v>
      </c>
      <c r="L316" s="133">
        <f t="shared" si="0"/>
        <v>0</v>
      </c>
      <c r="M316" s="184">
        <f t="shared" si="0"/>
        <v>0</v>
      </c>
      <c r="N316" s="134"/>
    </row>
    <row r="317" spans="2:14">
      <c r="B317" s="132" t="str">
        <f t="shared" si="1"/>
        <v>סה"כ יתרת פיגורים לגבייה</v>
      </c>
      <c r="C317" s="143">
        <f t="shared" si="0"/>
        <v>214825</v>
      </c>
      <c r="D317" s="133">
        <f t="shared" si="0"/>
        <v>0</v>
      </c>
      <c r="E317" s="143">
        <f t="shared" si="0"/>
        <v>185918</v>
      </c>
      <c r="F317" s="133">
        <f t="shared" si="0"/>
        <v>0</v>
      </c>
      <c r="G317" s="143">
        <f t="shared" si="0"/>
        <v>175721</v>
      </c>
      <c r="H317" s="133">
        <f t="shared" si="0"/>
        <v>0</v>
      </c>
      <c r="I317" s="143">
        <f t="shared" si="0"/>
        <v>214</v>
      </c>
      <c r="J317" s="133">
        <f t="shared" si="0"/>
        <v>0</v>
      </c>
      <c r="K317" s="143">
        <f t="shared" si="0"/>
        <v>303</v>
      </c>
      <c r="L317" s="133">
        <f t="shared" si="0"/>
        <v>0</v>
      </c>
      <c r="M317" s="143">
        <f t="shared" si="0"/>
        <v>443</v>
      </c>
      <c r="N317" s="134">
        <f t="shared" si="0"/>
        <v>0</v>
      </c>
    </row>
    <row r="318" spans="2:14">
      <c r="B318" s="132" t="str">
        <f t="shared" si="1"/>
        <v>גבייה בגין פיגורים</v>
      </c>
      <c r="C318" s="183">
        <f t="shared" si="0"/>
        <v>12979</v>
      </c>
      <c r="D318" s="133">
        <f t="shared" si="0"/>
        <v>0</v>
      </c>
      <c r="E318" s="183">
        <f t="shared" si="0"/>
        <v>11341</v>
      </c>
      <c r="F318" s="133">
        <f t="shared" si="0"/>
        <v>0</v>
      </c>
      <c r="G318" s="183">
        <f t="shared" si="0"/>
        <v>22412</v>
      </c>
      <c r="H318" s="133">
        <f t="shared" si="0"/>
        <v>0</v>
      </c>
      <c r="I318" s="183">
        <f t="shared" si="0"/>
        <v>14</v>
      </c>
      <c r="J318" s="133">
        <f t="shared" si="0"/>
        <v>0</v>
      </c>
      <c r="K318" s="183">
        <f t="shared" si="0"/>
        <v>103</v>
      </c>
      <c r="L318" s="133">
        <f t="shared" si="0"/>
        <v>0</v>
      </c>
      <c r="M318" s="183">
        <f t="shared" si="0"/>
        <v>243</v>
      </c>
      <c r="N318" s="134">
        <f t="shared" si="0"/>
        <v>0</v>
      </c>
    </row>
    <row r="319" spans="2:14">
      <c r="B319" s="132" t="str">
        <f t="shared" si="1"/>
        <v>יתרת פיגורים בגין שנים קודמות</v>
      </c>
      <c r="C319" s="143">
        <f t="shared" si="0"/>
        <v>201846</v>
      </c>
      <c r="D319" s="133">
        <f t="shared" si="0"/>
        <v>0</v>
      </c>
      <c r="E319" s="143">
        <f t="shared" si="0"/>
        <v>174577</v>
      </c>
      <c r="F319" s="133">
        <f t="shared" si="0"/>
        <v>0</v>
      </c>
      <c r="G319" s="143">
        <f t="shared" si="0"/>
        <v>153309</v>
      </c>
      <c r="H319" s="133">
        <f t="shared" si="0"/>
        <v>0</v>
      </c>
      <c r="I319" s="143">
        <f t="shared" si="0"/>
        <v>200</v>
      </c>
      <c r="J319" s="133">
        <f t="shared" si="0"/>
        <v>0</v>
      </c>
      <c r="K319" s="143">
        <f t="shared" si="0"/>
        <v>200</v>
      </c>
      <c r="L319" s="133">
        <f t="shared" si="0"/>
        <v>0</v>
      </c>
      <c r="M319" s="143">
        <f t="shared" si="0"/>
        <v>200</v>
      </c>
      <c r="N319" s="134">
        <f t="shared" si="0"/>
        <v>0</v>
      </c>
    </row>
    <row r="320" spans="2:14" ht="15.75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>
      <c r="B321" s="132" t="str">
        <f t="shared" si="1"/>
        <v>חיוב תקופתי שוטף מצטבר</v>
      </c>
      <c r="C321" s="183">
        <f t="shared" si="0"/>
        <v>110488</v>
      </c>
      <c r="D321" s="133">
        <f t="shared" si="0"/>
        <v>0</v>
      </c>
      <c r="E321" s="183">
        <f t="shared" si="0"/>
        <v>107485</v>
      </c>
      <c r="F321" s="133">
        <f t="shared" si="0"/>
        <v>0</v>
      </c>
      <c r="G321" s="183">
        <f t="shared" si="0"/>
        <v>429938</v>
      </c>
      <c r="H321" s="133">
        <f t="shared" si="0"/>
        <v>0</v>
      </c>
      <c r="I321" s="183">
        <f t="shared" si="0"/>
        <v>0</v>
      </c>
      <c r="J321" s="133">
        <f t="shared" si="0"/>
        <v>0</v>
      </c>
      <c r="K321" s="183">
        <f t="shared" si="0"/>
        <v>0</v>
      </c>
      <c r="L321" s="133">
        <f t="shared" si="0"/>
        <v>0</v>
      </c>
      <c r="M321" s="183">
        <f t="shared" si="0"/>
        <v>0</v>
      </c>
      <c r="N321" s="134">
        <f t="shared" si="0"/>
        <v>0</v>
      </c>
    </row>
    <row r="322" spans="2:14">
      <c r="B322" s="132" t="str">
        <f t="shared" si="1"/>
        <v>חיוב/זיכוי נוסף כולל ריבית והצמדה</v>
      </c>
      <c r="C322" s="184">
        <f t="shared" si="0"/>
        <v>26260</v>
      </c>
      <c r="D322" s="133">
        <f t="shared" si="0"/>
        <v>0</v>
      </c>
      <c r="E322" s="184">
        <f t="shared" si="0"/>
        <v>25730</v>
      </c>
      <c r="F322" s="133">
        <f t="shared" si="0"/>
        <v>0</v>
      </c>
      <c r="G322" s="184">
        <f t="shared" si="0"/>
        <v>10302</v>
      </c>
      <c r="H322" s="133">
        <f t="shared" si="0"/>
        <v>0</v>
      </c>
      <c r="I322" s="184">
        <f t="shared" si="0"/>
        <v>0</v>
      </c>
      <c r="J322" s="133">
        <f t="shared" si="0"/>
        <v>0</v>
      </c>
      <c r="K322" s="184">
        <f t="shared" si="0"/>
        <v>0</v>
      </c>
      <c r="L322" s="133">
        <f t="shared" si="0"/>
        <v>0</v>
      </c>
      <c r="M322" s="184">
        <f t="shared" si="0"/>
        <v>0</v>
      </c>
      <c r="N322" s="134">
        <f t="shared" si="0"/>
        <v>0</v>
      </c>
    </row>
    <row r="323" spans="2:14">
      <c r="B323" s="132" t="str">
        <f t="shared" si="1"/>
        <v>הנחות ופטורים (במינוס)</v>
      </c>
      <c r="C323" s="184">
        <f t="shared" si="0"/>
        <v>-30674</v>
      </c>
      <c r="D323" s="133">
        <f t="shared" si="0"/>
        <v>0</v>
      </c>
      <c r="E323" s="184">
        <f t="shared" si="0"/>
        <v>-24054</v>
      </c>
      <c r="F323" s="133">
        <f t="shared" si="0"/>
        <v>0</v>
      </c>
      <c r="G323" s="184">
        <f t="shared" si="0"/>
        <v>-101825</v>
      </c>
      <c r="H323" s="133">
        <f t="shared" si="0"/>
        <v>0</v>
      </c>
      <c r="I323" s="184">
        <f t="shared" si="0"/>
        <v>0</v>
      </c>
      <c r="J323" s="133">
        <f t="shared" si="0"/>
        <v>0</v>
      </c>
      <c r="K323" s="184">
        <f t="shared" si="0"/>
        <v>0</v>
      </c>
      <c r="L323" s="133">
        <f t="shared" si="0"/>
        <v>0</v>
      </c>
      <c r="M323" s="184">
        <f t="shared" si="0"/>
        <v>0</v>
      </c>
      <c r="N323" s="134">
        <f t="shared" si="0"/>
        <v>0</v>
      </c>
    </row>
    <row r="324" spans="2:14">
      <c r="B324" s="132" t="str">
        <f t="shared" si="1"/>
        <v>מחיקת חובות (במינוס)</v>
      </c>
      <c r="C324" s="184">
        <f t="shared" si="0"/>
        <v>0</v>
      </c>
      <c r="D324" s="133">
        <f t="shared" si="0"/>
        <v>0</v>
      </c>
      <c r="E324" s="184">
        <f t="shared" si="0"/>
        <v>0</v>
      </c>
      <c r="F324" s="133">
        <f t="shared" si="0"/>
        <v>0</v>
      </c>
      <c r="G324" s="184">
        <f t="shared" si="0"/>
        <v>0</v>
      </c>
      <c r="H324" s="133">
        <f t="shared" si="0"/>
        <v>0</v>
      </c>
      <c r="I324" s="184">
        <f t="shared" si="0"/>
        <v>0</v>
      </c>
      <c r="J324" s="133">
        <f t="shared" si="0"/>
        <v>0</v>
      </c>
      <c r="K324" s="184">
        <f t="shared" si="0"/>
        <v>0</v>
      </c>
      <c r="L324" s="133">
        <f t="shared" si="0"/>
        <v>0</v>
      </c>
      <c r="M324" s="184">
        <f t="shared" si="0"/>
        <v>0</v>
      </c>
      <c r="N324" s="134"/>
    </row>
    <row r="325" spans="2:14">
      <c r="B325" s="132" t="str">
        <f t="shared" si="1"/>
        <v>סה"כ חיוב תקופתי לגבייה</v>
      </c>
      <c r="C325" s="143">
        <f t="shared" ref="C325:N325" si="2">C23</f>
        <v>106074</v>
      </c>
      <c r="D325" s="133">
        <f t="shared" si="2"/>
        <v>0</v>
      </c>
      <c r="E325" s="143">
        <f t="shared" si="2"/>
        <v>109161</v>
      </c>
      <c r="F325" s="133">
        <f t="shared" si="2"/>
        <v>0</v>
      </c>
      <c r="G325" s="143">
        <f t="shared" si="2"/>
        <v>338415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>
      <c r="B326" s="132" t="str">
        <f t="shared" ref="B326:N326" si="3">B24</f>
        <v>גבייה מראש</v>
      </c>
      <c r="C326" s="183">
        <f t="shared" si="3"/>
        <v>20248</v>
      </c>
      <c r="D326" s="133">
        <f t="shared" si="3"/>
        <v>0</v>
      </c>
      <c r="E326" s="183">
        <f t="shared" si="3"/>
        <v>28096</v>
      </c>
      <c r="F326" s="133">
        <f t="shared" si="3"/>
        <v>0</v>
      </c>
      <c r="G326" s="183">
        <f t="shared" si="3"/>
        <v>0</v>
      </c>
      <c r="H326" s="133">
        <f t="shared" si="3"/>
        <v>0</v>
      </c>
      <c r="I326" s="183">
        <f t="shared" si="3"/>
        <v>0</v>
      </c>
      <c r="J326" s="133">
        <f t="shared" si="3"/>
        <v>0</v>
      </c>
      <c r="K326" s="183">
        <f t="shared" si="3"/>
        <v>0</v>
      </c>
      <c r="L326" s="133">
        <f t="shared" si="3"/>
        <v>0</v>
      </c>
      <c r="M326" s="183">
        <f t="shared" si="3"/>
        <v>0</v>
      </c>
      <c r="N326" s="134">
        <f t="shared" si="3"/>
        <v>0</v>
      </c>
    </row>
    <row r="327" spans="2:14">
      <c r="B327" s="132" t="str">
        <f t="shared" ref="B327:N327" si="4">B25</f>
        <v>גבייה שוטפת</v>
      </c>
      <c r="C327" s="184">
        <f t="shared" si="4"/>
        <v>72423</v>
      </c>
      <c r="D327" s="133">
        <f t="shared" si="4"/>
        <v>0</v>
      </c>
      <c r="E327" s="184">
        <f t="shared" si="4"/>
        <v>60580</v>
      </c>
      <c r="F327" s="133">
        <f t="shared" si="4"/>
        <v>0</v>
      </c>
      <c r="G327" s="184">
        <f t="shared" si="4"/>
        <v>275122</v>
      </c>
      <c r="H327" s="133">
        <f t="shared" si="4"/>
        <v>0</v>
      </c>
      <c r="I327" s="184">
        <f t="shared" si="4"/>
        <v>0</v>
      </c>
      <c r="J327" s="133">
        <f t="shared" si="4"/>
        <v>0</v>
      </c>
      <c r="K327" s="184">
        <f t="shared" si="4"/>
        <v>0</v>
      </c>
      <c r="L327" s="133">
        <f t="shared" si="4"/>
        <v>0</v>
      </c>
      <c r="M327" s="184">
        <f t="shared" si="4"/>
        <v>0</v>
      </c>
      <c r="N327" s="134">
        <f t="shared" si="4"/>
        <v>0</v>
      </c>
    </row>
    <row r="328" spans="2:14">
      <c r="B328" s="132" t="str">
        <f t="shared" ref="B328:N328" si="5">B26</f>
        <v>סה"כ גבייה שוטפת</v>
      </c>
      <c r="C328" s="143">
        <f t="shared" si="5"/>
        <v>92671</v>
      </c>
      <c r="D328" s="133">
        <f t="shared" si="5"/>
        <v>0</v>
      </c>
      <c r="E328" s="143">
        <f t="shared" si="5"/>
        <v>88676</v>
      </c>
      <c r="F328" s="133">
        <f t="shared" si="5"/>
        <v>0</v>
      </c>
      <c r="G328" s="143">
        <f t="shared" si="5"/>
        <v>275122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>
      <c r="B330" s="132" t="str">
        <f t="shared" ref="B330:N330" si="7">B28</f>
        <v>יתרת פיגורים לתקופה</v>
      </c>
      <c r="C330" s="143">
        <f t="shared" si="7"/>
        <v>13403</v>
      </c>
      <c r="D330" s="133">
        <f t="shared" si="7"/>
        <v>0</v>
      </c>
      <c r="E330" s="143">
        <f t="shared" si="7"/>
        <v>20485</v>
      </c>
      <c r="F330" s="133">
        <f t="shared" si="7"/>
        <v>0</v>
      </c>
      <c r="G330" s="143">
        <f t="shared" si="7"/>
        <v>63293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>
      <c r="B332" s="132" t="str">
        <f t="shared" ref="B332:N332" si="9">B30</f>
        <v>יתרת פיגורים כוללת לסוף התקופה</v>
      </c>
      <c r="C332" s="145">
        <f t="shared" si="9"/>
        <v>215249</v>
      </c>
      <c r="D332" s="133">
        <f t="shared" si="9"/>
        <v>0</v>
      </c>
      <c r="E332" s="145">
        <f t="shared" si="9"/>
        <v>195062</v>
      </c>
      <c r="F332" s="133">
        <f t="shared" si="9"/>
        <v>0</v>
      </c>
      <c r="G332" s="145">
        <f t="shared" si="9"/>
        <v>216602</v>
      </c>
      <c r="H332" s="133">
        <f t="shared" si="9"/>
        <v>0</v>
      </c>
      <c r="I332" s="145">
        <f t="shared" si="9"/>
        <v>200</v>
      </c>
      <c r="J332" s="133">
        <f t="shared" si="9"/>
        <v>0</v>
      </c>
      <c r="K332" s="145">
        <f t="shared" si="9"/>
        <v>200</v>
      </c>
      <c r="L332" s="133">
        <f t="shared" si="9"/>
        <v>0</v>
      </c>
      <c r="M332" s="145">
        <f t="shared" si="9"/>
        <v>200</v>
      </c>
      <c r="N332" s="134">
        <f t="shared" si="9"/>
        <v>0</v>
      </c>
    </row>
    <row r="333" spans="2:14" ht="13.5" thickTop="1">
      <c r="B333" s="132" t="str">
        <f t="shared" ref="B333:N333" si="10">B31</f>
        <v>% גבייה מהפיגורים (בניכוי הנחות)</v>
      </c>
      <c r="C333" s="138">
        <f t="shared" si="10"/>
        <v>6.0416618177586409E-2</v>
      </c>
      <c r="D333" s="133">
        <f t="shared" si="10"/>
        <v>0</v>
      </c>
      <c r="E333" s="138">
        <f t="shared" si="10"/>
        <v>6.1000010757430695E-2</v>
      </c>
      <c r="F333" s="133">
        <f t="shared" si="10"/>
        <v>0</v>
      </c>
      <c r="G333" s="138">
        <f t="shared" si="10"/>
        <v>0.12754309388177851</v>
      </c>
      <c r="H333" s="133">
        <f t="shared" si="10"/>
        <v>0</v>
      </c>
      <c r="I333" s="138">
        <f t="shared" si="10"/>
        <v>6.5420560747663545E-2</v>
      </c>
      <c r="J333" s="133">
        <f t="shared" si="10"/>
        <v>0</v>
      </c>
      <c r="K333" s="138">
        <f t="shared" si="10"/>
        <v>0.33993399339933994</v>
      </c>
      <c r="L333" s="133">
        <f t="shared" si="10"/>
        <v>0</v>
      </c>
      <c r="M333" s="138">
        <f t="shared" si="10"/>
        <v>0.54853273137697522</v>
      </c>
      <c r="N333" s="134">
        <f t="shared" si="10"/>
        <v>0</v>
      </c>
    </row>
    <row r="334" spans="2:14" ht="25.5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0.87364481399777516</v>
      </c>
      <c r="D334" s="133">
        <f t="shared" si="11"/>
        <v>0</v>
      </c>
      <c r="E334" s="141">
        <f t="shared" si="11"/>
        <v>0.81234140398127541</v>
      </c>
      <c r="F334" s="133">
        <f t="shared" si="11"/>
        <v>0</v>
      </c>
      <c r="G334" s="141">
        <f t="shared" si="11"/>
        <v>0.81297223822821096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>
      <c r="B335" s="144" t="str">
        <f t="shared" ref="B335:M335" si="12">B33</f>
        <v>% גבייה שוטפת מסה"כ חיוב תקופתי - כולל הנחות</v>
      </c>
      <c r="C335" s="141">
        <f t="shared" si="12"/>
        <v>0.5296092081785474</v>
      </c>
      <c r="D335" s="133">
        <f t="shared" si="12"/>
        <v>0</v>
      </c>
      <c r="E335" s="141">
        <f t="shared" si="12"/>
        <v>0.45475359381451036</v>
      </c>
      <c r="F335" s="133">
        <f t="shared" si="12"/>
        <v>0</v>
      </c>
      <c r="G335" s="141">
        <f t="shared" si="12"/>
        <v>0.62493639832818459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>
      <c r="B336" s="132" t="str">
        <f t="shared" ref="B336:M336" si="13">B34</f>
        <v>% סה"כ גבייה שוטפת מסה"כ חיוב תקופתי - כולל הנחות</v>
      </c>
      <c r="C336" s="141">
        <f t="shared" si="13"/>
        <v>0.67767718723491388</v>
      </c>
      <c r="D336" s="133">
        <f t="shared" si="13"/>
        <v>0</v>
      </c>
      <c r="E336" s="141">
        <f t="shared" si="13"/>
        <v>0.66566077393686895</v>
      </c>
      <c r="F336" s="133">
        <f t="shared" si="13"/>
        <v>0</v>
      </c>
      <c r="G336" s="141">
        <f t="shared" si="13"/>
        <v>0.62493639832818459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>
      <c r="B337" s="132" t="str">
        <f t="shared" ref="B337:N343" si="14">B35</f>
        <v>% גבייה כוללת מסה"כ חיוב לגביה</v>
      </c>
      <c r="C337" s="141">
        <f t="shared" si="14"/>
        <v>0.32923131577225234</v>
      </c>
      <c r="D337" s="133">
        <f t="shared" si="14"/>
        <v>0</v>
      </c>
      <c r="E337" s="141">
        <f t="shared" si="14"/>
        <v>0.33894990832963379</v>
      </c>
      <c r="F337" s="133">
        <f t="shared" si="14"/>
        <v>0</v>
      </c>
      <c r="G337" s="141">
        <f t="shared" si="14"/>
        <v>0.57870680131327124</v>
      </c>
      <c r="H337" s="133">
        <f t="shared" si="14"/>
        <v>0</v>
      </c>
      <c r="I337" s="141">
        <f t="shared" si="14"/>
        <v>6.5420560747663545E-2</v>
      </c>
      <c r="J337" s="133">
        <f t="shared" si="14"/>
        <v>0</v>
      </c>
      <c r="K337" s="141">
        <f t="shared" si="14"/>
        <v>0.33993399339933994</v>
      </c>
      <c r="L337" s="133">
        <f t="shared" si="14"/>
        <v>0</v>
      </c>
      <c r="M337" s="141">
        <f t="shared" si="14"/>
        <v>0.54853273137697522</v>
      </c>
      <c r="N337" s="134">
        <f t="shared" si="14"/>
        <v>0</v>
      </c>
    </row>
    <row r="338" spans="2:14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4">
        <f t="shared" si="14"/>
        <v>0</v>
      </c>
      <c r="J338" s="133">
        <f t="shared" si="14"/>
        <v>0</v>
      </c>
      <c r="K338" s="184">
        <f t="shared" si="14"/>
        <v>0</v>
      </c>
      <c r="L338" s="133">
        <f t="shared" si="14"/>
        <v>0</v>
      </c>
      <c r="M338" s="184">
        <f t="shared" si="14"/>
        <v>0</v>
      </c>
      <c r="N338" s="134">
        <f t="shared" si="14"/>
        <v>0</v>
      </c>
    </row>
    <row r="339" spans="2:14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4">
        <f t="shared" si="14"/>
        <v>0</v>
      </c>
      <c r="J339" s="133">
        <f t="shared" si="14"/>
        <v>0</v>
      </c>
      <c r="K339" s="184">
        <f t="shared" si="14"/>
        <v>0</v>
      </c>
      <c r="L339" s="133">
        <f t="shared" si="14"/>
        <v>0</v>
      </c>
      <c r="M339" s="184">
        <f t="shared" si="14"/>
        <v>0</v>
      </c>
      <c r="N339" s="134">
        <f t="shared" si="14"/>
        <v>0</v>
      </c>
    </row>
    <row r="340" spans="2:14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4">
        <f t="shared" si="14"/>
        <v>0</v>
      </c>
      <c r="J340" s="133">
        <f t="shared" si="14"/>
        <v>0</v>
      </c>
      <c r="K340" s="184">
        <f t="shared" si="14"/>
        <v>0</v>
      </c>
      <c r="L340" s="133">
        <f t="shared" si="14"/>
        <v>0</v>
      </c>
      <c r="M340" s="184">
        <f t="shared" si="14"/>
        <v>0</v>
      </c>
      <c r="N340" s="134">
        <f t="shared" si="14"/>
        <v>0</v>
      </c>
    </row>
    <row r="341" spans="2:14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>
      <c r="B345" s="106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J19:J22 J24:J25 J36:J38 I338:M340 I318:M318 I311:M316 I326:M327 I321:M324 J16 J9:J14 L9:L14 L19:L22 L24:L25 L16 L36:L38">
    <cfRule type="expression" dxfId="72" priority="2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ReportPeriod</vt:lpstr>
      <vt:lpstr>Shana</vt:lpstr>
      <vt:lpstr>ShanaKodemet</vt:lpstr>
      <vt:lpstr>ארנונה!WPrint_Area_W</vt:lpstr>
      <vt:lpstr>'בדיקות הצלבה'!WPrint_Area_W</vt:lpstr>
      <vt:lpstr>'ביאורים 1, 2 א-ב ישן'!WPrint_Area_W</vt:lpstr>
      <vt:lpstr>'בעלי שכר גבוה'!WPrint_Area_W</vt:lpstr>
      <vt:lpstr>'גבייה וחייבים'!WPrint_Area_W</vt:lpstr>
      <vt:lpstr>'הגדרות כלליות'!WPrint_Area_W</vt:lpstr>
      <vt:lpstr>מקרא!WPrint_Area_W</vt:lpstr>
      <vt:lpstr>'ריכוז תברים'!WPrint_Area_W</vt:lpstr>
      <vt:lpstr>'שכר ומשרות'!WPrint_Area_W</vt:lpstr>
      <vt:lpstr>תברים!WPrint_Area_W</vt:lpstr>
      <vt:lpstr>'תוכן הענינים'!WPrint_Area_W</vt:lpstr>
      <vt:lpstr>'תמצית מאזן'!WPrint_Area_W</vt:lpstr>
      <vt:lpstr>'תקציב רגיל'!WPrint_Area_W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לורנץ צביקה</cp:lastModifiedBy>
  <cp:lastPrinted>2021-06-01T14:56:14Z</cp:lastPrinted>
  <dcterms:created xsi:type="dcterms:W3CDTF">2003-12-01T13:23:06Z</dcterms:created>
  <dcterms:modified xsi:type="dcterms:W3CDTF">2021-06-02T06:48:59Z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